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3" documentId="8_{E9AD85FC-A4DB-4440-ACC5-B8820F189DCD}" xr6:coauthVersionLast="47" xr6:coauthVersionMax="47" xr10:uidLastSave="{E7F0B1D2-4BB4-47C1-92F1-C1CD4DC58F5D}"/>
  <bookViews>
    <workbookView xWindow="-120" yWindow="-120" windowWidth="29040" windowHeight="17520" tabRatio="898" xr2:uid="{00000000-000D-0000-FFFF-FFFF00000000}"/>
  </bookViews>
  <sheets>
    <sheet name="Accelerator - dny" sheetId="47" r:id="rId1"/>
    <sheet name="project hours" sheetId="4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47" l="1"/>
  <c r="F33" i="47"/>
  <c r="F27" i="47"/>
  <c r="F21" i="47"/>
  <c r="I15" i="47"/>
  <c r="F15" i="47"/>
  <c r="F7" i="47"/>
  <c r="P187" i="48"/>
  <c r="F6" i="47"/>
  <c r="P176" i="48"/>
  <c r="M15" i="47" l="1"/>
  <c r="F8" i="47"/>
  <c r="I6" i="47" l="1"/>
  <c r="I7" i="47"/>
  <c r="Q7" i="47" s="1"/>
  <c r="Q8" i="47" s="1"/>
  <c r="I8" i="47" l="1"/>
  <c r="M8" i="47" s="1"/>
  <c r="D170" i="48"/>
  <c r="C176" i="48"/>
  <c r="N187" i="48" l="1"/>
  <c r="C189" i="48"/>
  <c r="D189" i="48"/>
  <c r="E189" i="48"/>
  <c r="F189" i="48"/>
  <c r="G189" i="48"/>
  <c r="H189" i="48"/>
  <c r="I189" i="48"/>
  <c r="J189" i="48"/>
  <c r="K189" i="48"/>
  <c r="L189" i="48"/>
  <c r="M189" i="48"/>
  <c r="C177" i="48"/>
  <c r="D177" i="48"/>
  <c r="E177" i="48"/>
  <c r="F177" i="48"/>
  <c r="G177" i="48"/>
  <c r="H177" i="48"/>
  <c r="I177" i="48"/>
  <c r="J177" i="48"/>
  <c r="K177" i="48"/>
  <c r="L177" i="48"/>
  <c r="M177" i="48"/>
  <c r="E172" i="48"/>
  <c r="D173" i="48"/>
  <c r="D171" i="48"/>
  <c r="E170" i="48"/>
  <c r="C170" i="48"/>
  <c r="F7" i="48"/>
  <c r="J182" i="48" l="1"/>
  <c r="J184" i="48" s="1"/>
  <c r="J187" i="48" s="1"/>
  <c r="J181" i="48"/>
  <c r="I182" i="48"/>
  <c r="I181" i="48"/>
  <c r="H182" i="48"/>
  <c r="H184" i="48" s="1"/>
  <c r="H181" i="48"/>
  <c r="G182" i="48"/>
  <c r="G181" i="48"/>
  <c r="G184" i="48"/>
  <c r="I184" i="48"/>
  <c r="I187" i="48" s="1"/>
  <c r="K184" i="48"/>
  <c r="K187" i="48" s="1"/>
  <c r="L184" i="48"/>
  <c r="L187" i="48" s="1"/>
  <c r="M184" i="48"/>
  <c r="F183" i="48"/>
  <c r="F182" i="48"/>
  <c r="F184" i="48" s="1"/>
  <c r="F181" i="48"/>
  <c r="F187" i="48" l="1"/>
  <c r="M187" i="48"/>
  <c r="H187" i="48"/>
  <c r="G187" i="48"/>
  <c r="H32" i="47" l="1"/>
  <c r="H31" i="47"/>
  <c r="E32" i="47"/>
  <c r="E31" i="47"/>
  <c r="H38" i="47"/>
  <c r="H37" i="47"/>
  <c r="E38" i="47"/>
  <c r="E37" i="47"/>
  <c r="I38" i="47"/>
  <c r="I32" i="47"/>
  <c r="Q32" i="47" s="1"/>
  <c r="D154" i="48"/>
  <c r="D151" i="48"/>
  <c r="E151" i="48"/>
  <c r="E154" i="48" s="1"/>
  <c r="F151" i="48"/>
  <c r="F154" i="48" s="1"/>
  <c r="G151" i="48"/>
  <c r="G154" i="48" s="1"/>
  <c r="H151" i="48"/>
  <c r="H154" i="48" s="1"/>
  <c r="I151" i="48"/>
  <c r="I154" i="48" s="1"/>
  <c r="J151" i="48"/>
  <c r="J154" i="48" s="1"/>
  <c r="K151" i="48"/>
  <c r="K154" i="48" s="1"/>
  <c r="L151" i="48"/>
  <c r="L154" i="48" s="1"/>
  <c r="M151" i="48"/>
  <c r="M154" i="48" s="1"/>
  <c r="C140" i="48"/>
  <c r="D140" i="48"/>
  <c r="E140" i="48"/>
  <c r="F140" i="48"/>
  <c r="G140" i="48"/>
  <c r="H140" i="48"/>
  <c r="I140" i="48"/>
  <c r="J140" i="48"/>
  <c r="K140" i="48"/>
  <c r="L140" i="48"/>
  <c r="M140" i="48"/>
  <c r="F129" i="48"/>
  <c r="F132" i="48" s="1"/>
  <c r="D129" i="48"/>
  <c r="D132" i="48" s="1"/>
  <c r="E129" i="48"/>
  <c r="E132" i="48" s="1"/>
  <c r="G129" i="48"/>
  <c r="G132" i="48" s="1"/>
  <c r="H129" i="48"/>
  <c r="H132" i="48" s="1"/>
  <c r="I129" i="48"/>
  <c r="I132" i="48" s="1"/>
  <c r="J129" i="48"/>
  <c r="K129" i="48"/>
  <c r="L129" i="48"/>
  <c r="M129" i="48"/>
  <c r="M132" i="48" s="1"/>
  <c r="J132" i="48"/>
  <c r="K132" i="48"/>
  <c r="L132" i="48"/>
  <c r="H26" i="47"/>
  <c r="E26" i="47"/>
  <c r="H25" i="47"/>
  <c r="E25" i="47"/>
  <c r="N85" i="48"/>
  <c r="F88" i="48"/>
  <c r="F85" i="48"/>
  <c r="G85" i="48"/>
  <c r="G88" i="48" s="1"/>
  <c r="H85" i="48"/>
  <c r="H88" i="48" s="1"/>
  <c r="I85" i="48"/>
  <c r="I88" i="48" s="1"/>
  <c r="J85" i="48"/>
  <c r="J88" i="48" s="1"/>
  <c r="K85" i="48"/>
  <c r="K88" i="48" s="1"/>
  <c r="L85" i="48"/>
  <c r="L88" i="48" s="1"/>
  <c r="M85" i="48"/>
  <c r="M88" i="48" s="1"/>
  <c r="H20" i="47"/>
  <c r="H19" i="47"/>
  <c r="E20" i="47"/>
  <c r="E19" i="47"/>
  <c r="N63" i="48"/>
  <c r="O63" i="48" s="1"/>
  <c r="I19" i="47" s="1"/>
  <c r="F63" i="48"/>
  <c r="G63" i="48"/>
  <c r="H63" i="48"/>
  <c r="I63" i="48"/>
  <c r="J63" i="48"/>
  <c r="K63" i="48"/>
  <c r="L63" i="48"/>
  <c r="L66" i="48" s="1"/>
  <c r="M63" i="48"/>
  <c r="M66" i="48" s="1"/>
  <c r="F41" i="48"/>
  <c r="G41" i="48"/>
  <c r="H41" i="48"/>
  <c r="I41" i="48"/>
  <c r="J41" i="48"/>
  <c r="K41" i="48"/>
  <c r="L41" i="48"/>
  <c r="L44" i="48" s="1"/>
  <c r="M41" i="48"/>
  <c r="M44" i="48" s="1"/>
  <c r="L107" i="48"/>
  <c r="L110" i="48" s="1"/>
  <c r="M107" i="48"/>
  <c r="M110" i="48" s="1"/>
  <c r="E39" i="47" l="1"/>
  <c r="E33" i="47"/>
  <c r="N33" i="47" s="1"/>
  <c r="H27" i="47"/>
  <c r="E21" i="47"/>
  <c r="N21" i="47" s="1"/>
  <c r="E27" i="47"/>
  <c r="N27" i="47" s="1"/>
  <c r="H39" i="47"/>
  <c r="H33" i="47"/>
  <c r="H21" i="47"/>
  <c r="N39" i="47"/>
  <c r="N41" i="48"/>
  <c r="N107" i="48"/>
  <c r="H14" i="47"/>
  <c r="H13" i="47"/>
  <c r="E14" i="47"/>
  <c r="E13" i="47"/>
  <c r="Q19" i="48"/>
  <c r="M19" i="48"/>
  <c r="L19" i="48"/>
  <c r="N19" i="48" s="1"/>
  <c r="F174" i="48"/>
  <c r="H7" i="47"/>
  <c r="H6" i="47"/>
  <c r="E183" i="48"/>
  <c r="E182" i="48"/>
  <c r="E181" i="48"/>
  <c r="D183" i="48"/>
  <c r="D182" i="48"/>
  <c r="D181" i="48"/>
  <c r="C182" i="48"/>
  <c r="C181" i="48"/>
  <c r="B185" i="48"/>
  <c r="B183" i="48"/>
  <c r="B182" i="48"/>
  <c r="B181" i="48"/>
  <c r="M174" i="48"/>
  <c r="M172" i="48"/>
  <c r="M171" i="48"/>
  <c r="M170" i="48"/>
  <c r="L172" i="48"/>
  <c r="L171" i="48"/>
  <c r="L170" i="48"/>
  <c r="K171" i="48"/>
  <c r="K173" i="48" s="1"/>
  <c r="K170" i="48"/>
  <c r="J172" i="48"/>
  <c r="J171" i="48"/>
  <c r="J170" i="48"/>
  <c r="I171" i="48"/>
  <c r="I173" i="48" s="1"/>
  <c r="I170" i="48"/>
  <c r="H172" i="48"/>
  <c r="H171" i="48"/>
  <c r="H170" i="48"/>
  <c r="G174" i="48"/>
  <c r="G171" i="48"/>
  <c r="G173" i="48" s="1"/>
  <c r="G170" i="48"/>
  <c r="F172" i="48"/>
  <c r="F171" i="48"/>
  <c r="F170" i="48"/>
  <c r="E171" i="48"/>
  <c r="E173" i="48" s="1"/>
  <c r="D176" i="48"/>
  <c r="C171" i="48"/>
  <c r="E6" i="47"/>
  <c r="E7" i="47"/>
  <c r="H15" i="47" l="1"/>
  <c r="E15" i="47"/>
  <c r="E8" i="47"/>
  <c r="N8" i="47" s="1"/>
  <c r="O8" i="47" s="1"/>
  <c r="H8" i="47"/>
  <c r="I176" i="48"/>
  <c r="E176" i="48"/>
  <c r="K176" i="48"/>
  <c r="G176" i="48"/>
  <c r="B184" i="48"/>
  <c r="F173" i="48"/>
  <c r="H173" i="48"/>
  <c r="L173" i="48"/>
  <c r="J173" i="48"/>
  <c r="M173" i="48"/>
  <c r="P8" i="47" l="1"/>
  <c r="N15" i="47"/>
  <c r="O15" i="47" s="1"/>
  <c r="P15" i="47" s="1"/>
  <c r="H176" i="48"/>
  <c r="F176" i="48"/>
  <c r="B187" i="48"/>
  <c r="B189" i="48"/>
  <c r="L176" i="48"/>
  <c r="J176" i="48"/>
  <c r="M176" i="48"/>
  <c r="P7" i="48" l="1"/>
  <c r="G7" i="48" l="1"/>
  <c r="H7" i="48"/>
  <c r="I7" i="48"/>
  <c r="J7" i="48"/>
  <c r="E184" i="48" l="1"/>
  <c r="D184" i="48"/>
  <c r="C184" i="48"/>
  <c r="C173" i="48"/>
  <c r="E162" i="48"/>
  <c r="E165" i="48" s="1"/>
  <c r="D162" i="48"/>
  <c r="D165" i="48" s="1"/>
  <c r="C162" i="48"/>
  <c r="C165" i="48" s="1"/>
  <c r="B162" i="48"/>
  <c r="C151" i="48"/>
  <c r="E143" i="48"/>
  <c r="D143" i="48"/>
  <c r="C143" i="48"/>
  <c r="B140" i="48"/>
  <c r="B143" i="48" s="1"/>
  <c r="C129" i="48"/>
  <c r="E118" i="48"/>
  <c r="E121" i="48" s="1"/>
  <c r="D118" i="48"/>
  <c r="D121" i="48" s="1"/>
  <c r="C118" i="48"/>
  <c r="C121" i="48" s="1"/>
  <c r="B118" i="48"/>
  <c r="E96" i="48"/>
  <c r="E99" i="48" s="1"/>
  <c r="D96" i="48"/>
  <c r="D99" i="48" s="1"/>
  <c r="C96" i="48"/>
  <c r="C99" i="48" s="1"/>
  <c r="B96" i="48"/>
  <c r="E74" i="48"/>
  <c r="E77" i="48" s="1"/>
  <c r="D74" i="48"/>
  <c r="D77" i="48" s="1"/>
  <c r="C74" i="48"/>
  <c r="C77" i="48" s="1"/>
  <c r="B74" i="48"/>
  <c r="E52" i="48"/>
  <c r="E55" i="48" s="1"/>
  <c r="D52" i="48"/>
  <c r="D55" i="48" s="1"/>
  <c r="C52" i="48"/>
  <c r="C55" i="48" s="1"/>
  <c r="B52" i="48"/>
  <c r="E30" i="48"/>
  <c r="E33" i="48" s="1"/>
  <c r="D30" i="48"/>
  <c r="D33" i="48" s="1"/>
  <c r="C30" i="48"/>
  <c r="C33" i="48" s="1"/>
  <c r="B30" i="48"/>
  <c r="B33" i="48" s="1"/>
  <c r="D187" i="48" l="1"/>
  <c r="B55" i="48"/>
  <c r="N52" i="48"/>
  <c r="B121" i="48"/>
  <c r="N118" i="48"/>
  <c r="B99" i="48"/>
  <c r="N99" i="48" s="1"/>
  <c r="N96" i="48"/>
  <c r="C154" i="48"/>
  <c r="N151" i="48"/>
  <c r="B77" i="48"/>
  <c r="N77" i="48" s="1"/>
  <c r="N74" i="48"/>
  <c r="C132" i="48"/>
  <c r="N132" i="48" s="1"/>
  <c r="N129" i="48"/>
  <c r="B165" i="48"/>
  <c r="N165" i="48" s="1"/>
  <c r="N162" i="48"/>
  <c r="C187" i="48"/>
  <c r="N184" i="48"/>
  <c r="E187" i="48"/>
  <c r="O173" i="48"/>
  <c r="N176" i="48"/>
  <c r="O187" i="48"/>
  <c r="N121" i="48"/>
  <c r="N154" i="48"/>
  <c r="N33" i="48"/>
  <c r="O33" i="48" s="1"/>
  <c r="N44" i="48"/>
  <c r="N143" i="48"/>
  <c r="N110" i="48"/>
  <c r="N55" i="48"/>
  <c r="N88" i="48"/>
  <c r="N66" i="48"/>
  <c r="E188" i="48" l="1"/>
  <c r="F188" i="48" s="1"/>
  <c r="O77" i="48"/>
  <c r="I20" i="47" s="1"/>
  <c r="I21" i="47" s="1"/>
  <c r="O132" i="48"/>
  <c r="I31" i="47" s="1"/>
  <c r="O99" i="48"/>
  <c r="I26" i="47" s="1"/>
  <c r="O88" i="48"/>
  <c r="I25" i="47" s="1"/>
  <c r="I27" i="47" s="1"/>
  <c r="O121" i="48"/>
  <c r="O55" i="48"/>
  <c r="O143" i="48"/>
  <c r="O44" i="48"/>
  <c r="O154" i="48"/>
  <c r="I37" i="47" s="1"/>
  <c r="I39" i="47" s="1"/>
  <c r="O110" i="48"/>
  <c r="O165" i="48"/>
  <c r="O176" i="48"/>
  <c r="Q31" i="47" l="1"/>
  <c r="Q33" i="47" s="1"/>
  <c r="I33" i="47"/>
  <c r="O27" i="47"/>
  <c r="M27" i="47"/>
  <c r="M39" i="47"/>
  <c r="O39" i="47" s="1"/>
  <c r="P39" i="47" s="1"/>
  <c r="M21" i="47"/>
  <c r="O21" i="47" s="1"/>
  <c r="M33" i="47"/>
  <c r="N22" i="48"/>
  <c r="O22" i="48" s="1"/>
  <c r="P21" i="47" l="1"/>
  <c r="P27" i="47"/>
  <c r="O33" i="47"/>
  <c r="P33" i="47" s="1"/>
  <c r="B7" i="48"/>
  <c r="B11" i="48" s="1"/>
  <c r="N11" i="48" s="1"/>
  <c r="O11" i="48" l="1"/>
  <c r="B4" i="48"/>
  <c r="C8" i="48" l="1"/>
  <c r="C6" i="48" s="1"/>
  <c r="D8" i="48"/>
  <c r="D6" i="48" s="1"/>
  <c r="D7" i="48"/>
  <c r="D5" i="48" s="1"/>
  <c r="E8" i="48"/>
  <c r="E6" i="48" s="1"/>
  <c r="E7" i="48"/>
  <c r="C7" i="48"/>
  <c r="C5" i="48" l="1"/>
  <c r="E4" i="48"/>
  <c r="C4" i="48"/>
  <c r="D4" i="48"/>
  <c r="E5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958EA993-9F30-4C63-B818-C738BA75D0A8}">
      <text>
        <r>
          <rPr>
            <sz val="9"/>
            <color indexed="81"/>
            <rFont val="Tahoma"/>
            <family val="2"/>
            <charset val="238"/>
          </rPr>
          <t>uveďte úvazek pracovníka u organizace (FTE), údaj se uvádí vždy vztažen na příslušný časový úsek</t>
        </r>
      </text>
    </comment>
    <comment ref="E3" authorId="0" shapeId="0" xr:uid="{C9ACC748-037A-48AB-B752-AEA8D6BB4743}">
      <text>
        <r>
          <rPr>
            <sz val="9"/>
            <color indexed="81"/>
            <rFont val="Tahoma"/>
            <family val="2"/>
            <charset val="238"/>
          </rPr>
          <t>vyplňte dle mzdového listu - údaj za celou organizaci a za příslušný časový úsek (včetně SZP a SF)</t>
        </r>
      </text>
    </comment>
    <comment ref="F3" authorId="0" shapeId="0" xr:uid="{2724A96E-BA79-45A5-9672-499E4D775F28}">
      <text>
        <r>
          <rPr>
            <sz val="9"/>
            <color indexed="81"/>
            <rFont val="Tahoma"/>
            <family val="2"/>
            <charset val="238"/>
          </rPr>
          <t>"Maximum declareble days" - dle pravidel programu</t>
        </r>
      </text>
    </comment>
    <comment ref="G3" authorId="0" shapeId="0" xr:uid="{01C2CAB4-CF2A-45A3-9A40-6B39A907A431}">
      <text>
        <r>
          <rPr>
            <sz val="9"/>
            <color indexed="81"/>
            <rFont val="Tahoma"/>
            <family val="2"/>
            <charset val="238"/>
          </rPr>
          <t>uveďte úvazek pracovníka na projektu (FTE),
údaj se uvádí vždy vztažen na
příslušný časový úsek</t>
        </r>
      </text>
    </comment>
    <comment ref="H3" authorId="0" shapeId="0" xr:uid="{5415FBCC-9F63-42F7-B0E1-A7981CEE8A3E}">
      <text>
        <r>
          <rPr>
            <sz val="9"/>
            <color indexed="81"/>
            <rFont val="Tahoma"/>
            <family val="2"/>
            <charset val="238"/>
          </rPr>
          <t>vyplňte dle alokace osobních nákladů na projekt - alokované ON na projektu (včetně SZP a SF) údaj za projekt, za příslušný časový úsek</t>
        </r>
      </text>
    </comment>
    <comment ref="I3" authorId="0" shapeId="0" xr:uid="{D6CA575D-7FD4-4084-B469-9FFA982C9373}">
      <text>
        <r>
          <rPr>
            <sz val="9"/>
            <color indexed="81"/>
            <rFont val="Tahoma"/>
            <family val="2"/>
            <charset val="238"/>
          </rPr>
          <t>vyplňte dle výkazů práce (timesheets - v hodinách / declarations - ve dnech) údaj za projekt, za příslušný časový úsek</t>
        </r>
      </text>
    </comment>
    <comment ref="K3" authorId="0" shapeId="0" xr:uid="{D1B8601D-3533-4261-8869-E98303F60AE9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vyplňte dle alokace osobních nákladů ve mzdovém systému
(včetně Sociálního fondu)</t>
        </r>
      </text>
    </comment>
    <comment ref="L3" authorId="0" shapeId="0" xr:uid="{B3E7378C-FFDC-456B-9084-6F140294C4DF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vyplňte dle výkazů práce (timesheets/ declarations)</t>
        </r>
      </text>
    </comment>
    <comment ref="Q4" authorId="0" shapeId="0" xr:uid="{10C70FDA-DBA3-4287-A5E4-830FEDF41B4B}">
      <text>
        <r>
          <rPr>
            <sz val="9"/>
            <color indexed="81"/>
            <rFont val="Tahoma"/>
            <family val="2"/>
            <charset val="238"/>
          </rPr>
          <t>je relevantní pouze v případě, že má zaměstnanec v daném roce souběh více evropských projektů. V takovém případě je nutné sčítat všechny záporné hodnoty po jednotlivých letech, které vzniknou v rámci reportovacího období (RP); tyto hodnoty nelze kompenzovat s kladnými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5" authorId="0" shapeId="0" xr:uid="{4A61A69D-6BFD-4511-A0CB-15ECFFE25D62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odečtená dovolená</t>
        </r>
      </text>
    </comment>
    <comment ref="P176" authorId="0" shapeId="0" xr:uid="{B8CCA63E-BEEB-4B27-AC0A-AC84BA328B0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pro-rata k úvazku</t>
        </r>
      </text>
    </comment>
    <comment ref="P187" authorId="0" shapeId="0" xr:uid="{5F35E0E4-8775-4DB6-A71C-FF754693B3BA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pro-rata k úvazku</t>
        </r>
      </text>
    </comment>
  </commentList>
</comments>
</file>

<file path=xl/sharedStrings.xml><?xml version="1.0" encoding="utf-8"?>
<sst xmlns="http://schemas.openxmlformats.org/spreadsheetml/2006/main" count="264" uniqueCount="70">
  <si>
    <t>Staff name</t>
  </si>
  <si>
    <t>Year</t>
  </si>
  <si>
    <t>Amounts per the whole institution</t>
  </si>
  <si>
    <t>Audited project</t>
  </si>
  <si>
    <t>FTE 
at institution</t>
  </si>
  <si>
    <t>SuperGrossSalary total per year CZK</t>
  </si>
  <si>
    <t>SuperGrossSalary charged to the project CZK</t>
  </si>
  <si>
    <t>Period</t>
  </si>
  <si>
    <t>n/a</t>
  </si>
  <si>
    <t>fill in:</t>
  </si>
  <si>
    <t>P1</t>
  </si>
  <si>
    <t xml:space="preserve">     &lt;employment till&gt;</t>
  </si>
  <si>
    <t>měsíc</t>
  </si>
  <si>
    <t>celkem</t>
  </si>
  <si>
    <t>úvazek instituce</t>
  </si>
  <si>
    <t>fond</t>
  </si>
  <si>
    <t>odpracováno ML</t>
  </si>
  <si>
    <t>svátek</t>
  </si>
  <si>
    <t>skutečné hodiny</t>
  </si>
  <si>
    <t>dovolená</t>
  </si>
  <si>
    <t>úvazek na projektu</t>
  </si>
  <si>
    <t>Hodiny projekt</t>
  </si>
  <si>
    <t>uznatelné náklady</t>
  </si>
  <si>
    <t>rozdíl</t>
  </si>
  <si>
    <t>neplacená nepřítomnost</t>
  </si>
  <si>
    <t>Days worked for the project</t>
  </si>
  <si>
    <t>odchod 10.9.2024</t>
  </si>
  <si>
    <t>počet dnů za 09</t>
  </si>
  <si>
    <t>denní sazba</t>
  </si>
  <si>
    <t>01/2024 - 0,7</t>
  </si>
  <si>
    <t>02/2023–04/2024</t>
  </si>
  <si>
    <t>odpracované dny</t>
  </si>
  <si>
    <t>project involvement</t>
  </si>
  <si>
    <t>příchod 21.11.2023</t>
  </si>
  <si>
    <t>15 months</t>
  </si>
  <si>
    <t>6 months</t>
  </si>
  <si>
    <t>5 months</t>
  </si>
  <si>
    <t>1st Period</t>
  </si>
  <si>
    <t>P1/P2</t>
  </si>
  <si>
    <t xml:space="preserve"> </t>
  </si>
  <si>
    <t>James Bond</t>
  </si>
  <si>
    <t>Max declarable day-equivalent</t>
  </si>
  <si>
    <t>Catalyst 02/2023-12/2023 - 1,0</t>
  </si>
  <si>
    <t xml:space="preserve">Atilio </t>
  </si>
  <si>
    <t xml:space="preserve">Ricardo </t>
  </si>
  <si>
    <t xml:space="preserve">Kaoud </t>
  </si>
  <si>
    <t xml:space="preserve">Erin </t>
  </si>
  <si>
    <t xml:space="preserve">Forrest </t>
  </si>
  <si>
    <t>Lalit  2024</t>
  </si>
  <si>
    <t>Atilio 2023</t>
  </si>
  <si>
    <t>Atilio  2024</t>
  </si>
  <si>
    <t>Andriy 2023</t>
  </si>
  <si>
    <t>Andriy  2024</t>
  </si>
  <si>
    <t>Ricardo 2023</t>
  </si>
  <si>
    <t>Ricardo 2024</t>
  </si>
  <si>
    <t>Kaoud  2023</t>
  </si>
  <si>
    <t>Kaoud  2024</t>
  </si>
  <si>
    <t>Indiana 2023</t>
  </si>
  <si>
    <t>Indiana 2024</t>
  </si>
  <si>
    <t>Erin  2023</t>
  </si>
  <si>
    <t>Erin 2024</t>
  </si>
  <si>
    <t>Forrest 2023</t>
  </si>
  <si>
    <t>Forrest 2024</t>
  </si>
  <si>
    <t>James 2023</t>
  </si>
  <si>
    <t>James 2024</t>
  </si>
  <si>
    <t>ceiling</t>
  </si>
  <si>
    <t>horizontal ceiling</t>
  </si>
  <si>
    <t>Other EU projects</t>
  </si>
  <si>
    <t>SuperGrossSalary charged to the project(s) CZK</t>
  </si>
  <si>
    <t>Time worked for the project(s)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</si>
</sst>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.00_-;_-* #,##0.00\-;_-* &quot;-&quot;??_-;_-@_-"/>
    <numFmt numFmtId="167" formatCode="_-* #,##0_-;\-* #,##0_-;_-* &quot;-&quot;??_-;_-@_-"/>
    <numFmt numFmtId="168" formatCode="0.0"/>
  </numFmts>
  <fonts count="37"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i/>
      <sz val="9"/>
      <name val="Times New Roman"/>
      <family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Times New Roman"/>
      <family val="1"/>
    </font>
    <font>
      <i/>
      <sz val="9"/>
      <color theme="5" tint="-0.249977111117893"/>
      <name val="Times New Roman"/>
      <family val="1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NewRomanPSMT"/>
    </font>
    <font>
      <sz val="12"/>
      <color rgb="FF000000"/>
      <name val="Calibri"/>
      <family val="2"/>
      <charset val="1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5">
    <xf numFmtId="0" fontId="0" fillId="0" borderId="0" applyNumberFormat="0" applyFont="0" applyFill="0" applyBorder="0" applyAlignmen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8" fillId="0" borderId="0" applyNumberFormat="0" applyFill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0" borderId="3" applyNumberFormat="0" applyFill="0" applyAlignment="0" applyProtection="0"/>
    <xf numFmtId="0" fontId="8" fillId="17" borderId="4" applyNumberFormat="0" applyAlignment="0" applyProtection="0"/>
    <xf numFmtId="0" fontId="7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6" fillId="22" borderId="5" applyNumberFormat="0" applyFont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2" fillId="0" borderId="0"/>
    <xf numFmtId="0" fontId="17" fillId="22" borderId="5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5" fillId="3" borderId="0" applyNumberFormat="0" applyBorder="0" applyAlignment="0" applyProtection="0"/>
    <xf numFmtId="0" fontId="10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27" fillId="24" borderId="10" applyNumberFormat="0" applyAlignment="0" applyProtection="0"/>
    <xf numFmtId="0" fontId="28" fillId="25" borderId="10" applyNumberFormat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17" fillId="26" borderId="12" applyNumberFormat="0" applyFont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1" fillId="0" borderId="0"/>
    <xf numFmtId="0" fontId="33" fillId="0" borderId="0"/>
  </cellStyleXfs>
  <cellXfs count="81">
    <xf numFmtId="0" fontId="0" fillId="0" borderId="0" xfId="0"/>
    <xf numFmtId="4" fontId="0" fillId="0" borderId="0" xfId="0" applyNumberFormat="1"/>
    <xf numFmtId="0" fontId="0" fillId="0" borderId="9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2" fontId="0" fillId="0" borderId="0" xfId="0" applyNumberForma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/>
    <xf numFmtId="14" fontId="26" fillId="0" borderId="0" xfId="0" applyNumberFormat="1" applyFont="1"/>
    <xf numFmtId="0" fontId="0" fillId="0" borderId="0" xfId="0" applyAlignment="1">
      <alignment horizontal="center" vertical="center" textRotation="180" wrapText="1"/>
    </xf>
    <xf numFmtId="0" fontId="21" fillId="0" borderId="0" xfId="0" applyFont="1"/>
    <xf numFmtId="2" fontId="0" fillId="46" borderId="9" xfId="0" applyNumberFormat="1" applyFill="1" applyBorder="1"/>
    <xf numFmtId="4" fontId="0" fillId="46" borderId="9" xfId="0" applyNumberFormat="1" applyFill="1" applyBorder="1"/>
    <xf numFmtId="2" fontId="0" fillId="46" borderId="9" xfId="0" applyNumberFormat="1" applyFill="1" applyBorder="1" applyAlignment="1">
      <alignment horizontal="center" vertical="center" wrapText="1"/>
    </xf>
    <xf numFmtId="4" fontId="0" fillId="46" borderId="9" xfId="0" applyNumberFormat="1" applyFill="1" applyBorder="1" applyAlignment="1">
      <alignment horizontal="center" vertical="center" wrapText="1"/>
    </xf>
    <xf numFmtId="3" fontId="0" fillId="46" borderId="9" xfId="0" applyNumberFormat="1" applyFill="1" applyBorder="1" applyAlignment="1">
      <alignment horizontal="center" vertical="center" wrapText="1"/>
    </xf>
    <xf numFmtId="2" fontId="0" fillId="45" borderId="9" xfId="0" applyNumberFormat="1" applyFill="1" applyBorder="1" applyAlignment="1">
      <alignment horizontal="center" vertical="center" wrapText="1"/>
    </xf>
    <xf numFmtId="4" fontId="0" fillId="45" borderId="9" xfId="0" applyNumberFormat="1" applyFill="1" applyBorder="1" applyAlignment="1">
      <alignment horizontal="center" vertical="center" wrapText="1"/>
    </xf>
    <xf numFmtId="3" fontId="0" fillId="45" borderId="9" xfId="0" applyNumberFormat="1" applyFill="1" applyBorder="1" applyAlignment="1">
      <alignment horizontal="center" vertical="center" wrapText="1"/>
    </xf>
    <xf numFmtId="2" fontId="0" fillId="47" borderId="9" xfId="0" applyNumberFormat="1" applyFill="1" applyBorder="1" applyAlignment="1">
      <alignment horizontal="center"/>
    </xf>
    <xf numFmtId="0" fontId="21" fillId="0" borderId="0" xfId="0" applyFont="1" applyFill="1" applyBorder="1"/>
    <xf numFmtId="4" fontId="0" fillId="48" borderId="9" xfId="0" applyNumberFormat="1" applyFill="1" applyBorder="1"/>
    <xf numFmtId="2" fontId="0" fillId="48" borderId="9" xfId="0" applyNumberFormat="1" applyFill="1" applyBorder="1"/>
    <xf numFmtId="3" fontId="0" fillId="48" borderId="9" xfId="0" applyNumberFormat="1" applyFill="1" applyBorder="1"/>
    <xf numFmtId="2" fontId="0" fillId="48" borderId="16" xfId="0" applyNumberFormat="1" applyFill="1" applyBorder="1"/>
    <xf numFmtId="4" fontId="0" fillId="48" borderId="16" xfId="0" applyNumberFormat="1" applyFill="1" applyBorder="1"/>
    <xf numFmtId="4" fontId="0" fillId="49" borderId="0" xfId="0" applyNumberFormat="1" applyFill="1"/>
    <xf numFmtId="0" fontId="0" fillId="48" borderId="0" xfId="0" applyFill="1"/>
    <xf numFmtId="0" fontId="32" fillId="0" borderId="0" xfId="0" applyFont="1"/>
    <xf numFmtId="1" fontId="0" fillId="0" borderId="0" xfId="0" applyNumberFormat="1"/>
    <xf numFmtId="0" fontId="34" fillId="0" borderId="0" xfId="0" applyFont="1"/>
    <xf numFmtId="1" fontId="0" fillId="50" borderId="0" xfId="0" applyNumberFormat="1" applyFill="1"/>
    <xf numFmtId="1" fontId="0" fillId="48" borderId="0" xfId="0" applyNumberFormat="1" applyFill="1"/>
    <xf numFmtId="0" fontId="0" fillId="51" borderId="0" xfId="0" applyFill="1"/>
    <xf numFmtId="1" fontId="0" fillId="51" borderId="0" xfId="0" applyNumberFormat="1" applyFill="1"/>
    <xf numFmtId="0" fontId="0" fillId="51" borderId="0" xfId="0" applyFill="1" applyAlignment="1">
      <alignment horizontal="right"/>
    </xf>
    <xf numFmtId="0" fontId="0" fillId="50" borderId="0" xfId="0" applyFill="1"/>
    <xf numFmtId="4" fontId="0" fillId="51" borderId="0" xfId="0" applyNumberFormat="1" applyFill="1"/>
    <xf numFmtId="0" fontId="0" fillId="52" borderId="0" xfId="0" applyFill="1"/>
    <xf numFmtId="0" fontId="0" fillId="0" borderId="0" xfId="0" applyAlignment="1">
      <alignment horizontal="right"/>
    </xf>
    <xf numFmtId="168" fontId="0" fillId="53" borderId="0" xfId="0" applyNumberFormat="1" applyFill="1"/>
    <xf numFmtId="168" fontId="0" fillId="0" borderId="0" xfId="0" applyNumberFormat="1"/>
    <xf numFmtId="1" fontId="0" fillId="0" borderId="0" xfId="0" applyNumberFormat="1" applyAlignment="1">
      <alignment horizontal="left" indent="1"/>
    </xf>
    <xf numFmtId="4" fontId="34" fillId="0" borderId="0" xfId="0" applyNumberFormat="1" applyFont="1"/>
    <xf numFmtId="4" fontId="34" fillId="46" borderId="9" xfId="0" applyNumberFormat="1" applyFont="1" applyFill="1" applyBorder="1"/>
    <xf numFmtId="0" fontId="0" fillId="49" borderId="0" xfId="0" applyFill="1"/>
    <xf numFmtId="1" fontId="34" fillId="49" borderId="0" xfId="0" applyNumberFormat="1" applyFont="1" applyFill="1"/>
    <xf numFmtId="168" fontId="0" fillId="49" borderId="0" xfId="0" applyNumberFormat="1" applyFill="1"/>
    <xf numFmtId="1" fontId="0" fillId="49" borderId="0" xfId="0" applyNumberFormat="1" applyFill="1"/>
    <xf numFmtId="2" fontId="0" fillId="50" borderId="0" xfId="0" applyNumberFormat="1" applyFill="1"/>
    <xf numFmtId="2" fontId="0" fillId="48" borderId="0" xfId="0" applyNumberFormat="1" applyFill="1"/>
    <xf numFmtId="168" fontId="0" fillId="54" borderId="0" xfId="0" applyNumberFormat="1" applyFill="1"/>
    <xf numFmtId="0" fontId="0" fillId="54" borderId="0" xfId="0" applyFill="1"/>
    <xf numFmtId="0" fontId="0" fillId="55" borderId="0" xfId="0" applyFill="1"/>
    <xf numFmtId="2" fontId="0" fillId="53" borderId="0" xfId="0" applyNumberFormat="1" applyFill="1"/>
    <xf numFmtId="2" fontId="34" fillId="49" borderId="0" xfId="0" applyNumberFormat="1" applyFont="1" applyFill="1"/>
    <xf numFmtId="0" fontId="0" fillId="56" borderId="0" xfId="0" applyFill="1"/>
    <xf numFmtId="2" fontId="34" fillId="51" borderId="0" xfId="0" applyNumberFormat="1" applyFont="1" applyFill="1"/>
    <xf numFmtId="4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0" borderId="9" xfId="0" applyNumberFormat="1" applyBorder="1"/>
    <xf numFmtId="0" fontId="35" fillId="0" borderId="0" xfId="0" applyFont="1" applyAlignment="1">
      <alignment horizontal="center" vertical="center" wrapText="1"/>
    </xf>
    <xf numFmtId="4" fontId="35" fillId="0" borderId="0" xfId="0" applyNumberFormat="1" applyFont="1" applyAlignment="1">
      <alignment horizontal="center"/>
    </xf>
    <xf numFmtId="4" fontId="35" fillId="0" borderId="0" xfId="0" applyNumberFormat="1" applyFont="1"/>
    <xf numFmtId="3" fontId="0" fillId="51" borderId="0" xfId="0" applyNumberFormat="1" applyFill="1" applyBorder="1"/>
    <xf numFmtId="2" fontId="0" fillId="0" borderId="0" xfId="0" applyNumberFormat="1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2" fontId="34" fillId="50" borderId="9" xfId="0" applyNumberFormat="1" applyFont="1" applyFill="1" applyBorder="1" applyAlignment="1">
      <alignment horizontal="center"/>
    </xf>
    <xf numFmtId="4" fontId="34" fillId="50" borderId="9" xfId="0" applyNumberFormat="1" applyFont="1" applyFill="1" applyBorder="1"/>
    <xf numFmtId="4" fontId="36" fillId="0" borderId="0" xfId="0" applyNumberFormat="1" applyFont="1"/>
    <xf numFmtId="0" fontId="0" fillId="0" borderId="9" xfId="0" applyBorder="1" applyAlignment="1">
      <alignment horizontal="center" vertical="center" wrapText="1"/>
    </xf>
    <xf numFmtId="0" fontId="0" fillId="46" borderId="15" xfId="0" applyFill="1" applyBorder="1" applyAlignment="1">
      <alignment horizontal="center"/>
    </xf>
    <xf numFmtId="0" fontId="0" fillId="46" borderId="13" xfId="0" applyFill="1" applyBorder="1" applyAlignment="1">
      <alignment horizontal="center"/>
    </xf>
    <xf numFmtId="0" fontId="0" fillId="46" borderId="14" xfId="0" applyFill="1" applyBorder="1" applyAlignment="1">
      <alignment horizontal="center"/>
    </xf>
    <xf numFmtId="2" fontId="0" fillId="45" borderId="9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125">
    <cellStyle name="20 % – Zvýraznění 1" xfId="105" builtinId="30" hidden="1"/>
    <cellStyle name="20 % – Zvýraznění 2" xfId="108" builtinId="34" hidden="1"/>
    <cellStyle name="20 % – Zvýraznění 3" xfId="111" builtinId="38" hidden="1"/>
    <cellStyle name="20 % – Zvýraznění 4" xfId="114" builtinId="42" hidden="1"/>
    <cellStyle name="20 % – Zvýraznění 5" xfId="117" builtinId="46" hidden="1"/>
    <cellStyle name="20 % – Zvýraznění 6" xfId="120" builtinId="50" hidden="1"/>
    <cellStyle name="20 % - Accent1" xfId="1" xr:uid="{00000000-0005-0000-0000-000006000000}"/>
    <cellStyle name="20 % - Accent2" xfId="2" xr:uid="{00000000-0005-0000-0000-000007000000}"/>
    <cellStyle name="20 % - Accent3" xfId="3" xr:uid="{00000000-0005-0000-0000-000008000000}"/>
    <cellStyle name="20 % - Accent4" xfId="4" xr:uid="{00000000-0005-0000-0000-000009000000}"/>
    <cellStyle name="20 % - Accent5" xfId="5" xr:uid="{00000000-0005-0000-0000-00000A000000}"/>
    <cellStyle name="20 % - Accent6" xfId="6" xr:uid="{00000000-0005-0000-0000-00000B000000}"/>
    <cellStyle name="20% - Accent1" xfId="7" xr:uid="{00000000-0005-0000-0000-00000C000000}"/>
    <cellStyle name="20% - Accent2" xfId="8" xr:uid="{00000000-0005-0000-0000-00000D000000}"/>
    <cellStyle name="20% - Accent3" xfId="9" xr:uid="{00000000-0005-0000-0000-00000E000000}"/>
    <cellStyle name="20% - Accent4" xfId="10" xr:uid="{00000000-0005-0000-0000-00000F000000}"/>
    <cellStyle name="20% - Accent5" xfId="11" xr:uid="{00000000-0005-0000-0000-000010000000}"/>
    <cellStyle name="20% - Accent6" xfId="12" xr:uid="{00000000-0005-0000-0000-000011000000}"/>
    <cellStyle name="20% - Colore 1" xfId="13" xr:uid="{00000000-0005-0000-0000-000012000000}"/>
    <cellStyle name="20% - Colore 2" xfId="14" xr:uid="{00000000-0005-0000-0000-000013000000}"/>
    <cellStyle name="20% - Colore 3" xfId="15" xr:uid="{00000000-0005-0000-0000-000014000000}"/>
    <cellStyle name="20% - Colore 4" xfId="16" xr:uid="{00000000-0005-0000-0000-000015000000}"/>
    <cellStyle name="20% - Colore 5" xfId="17" xr:uid="{00000000-0005-0000-0000-000016000000}"/>
    <cellStyle name="20% - Colore 6" xfId="18" xr:uid="{00000000-0005-0000-0000-000017000000}"/>
    <cellStyle name="40 % – Zvýraznění 1" xfId="106" builtinId="31" hidden="1"/>
    <cellStyle name="40 % – Zvýraznění 2" xfId="109" builtinId="35" hidden="1"/>
    <cellStyle name="40 % – Zvýraznění 3" xfId="112" builtinId="39" hidden="1"/>
    <cellStyle name="40 % – Zvýraznění 4" xfId="115" builtinId="43" hidden="1"/>
    <cellStyle name="40 % – Zvýraznění 5" xfId="118" builtinId="47" hidden="1"/>
    <cellStyle name="40 % – Zvýraznění 6" xfId="121" builtinId="51" hidden="1"/>
    <cellStyle name="40 % - Accent1" xfId="19" xr:uid="{00000000-0005-0000-0000-00001E000000}"/>
    <cellStyle name="40 % - Accent2" xfId="20" xr:uid="{00000000-0005-0000-0000-00001F000000}"/>
    <cellStyle name="40 % - Accent3" xfId="21" xr:uid="{00000000-0005-0000-0000-000020000000}"/>
    <cellStyle name="40 % - Accent4" xfId="22" xr:uid="{00000000-0005-0000-0000-000021000000}"/>
    <cellStyle name="40 % - Accent5" xfId="23" xr:uid="{00000000-0005-0000-0000-000022000000}"/>
    <cellStyle name="40 % - Accent6" xfId="24" xr:uid="{00000000-0005-0000-0000-000023000000}"/>
    <cellStyle name="40% - Accent1" xfId="25" xr:uid="{00000000-0005-0000-0000-000024000000}"/>
    <cellStyle name="40% - Accent2" xfId="26" xr:uid="{00000000-0005-0000-0000-000025000000}"/>
    <cellStyle name="40% - Accent3" xfId="27" xr:uid="{00000000-0005-0000-0000-000026000000}"/>
    <cellStyle name="40% - Accent4" xfId="28" xr:uid="{00000000-0005-0000-0000-000027000000}"/>
    <cellStyle name="40% - Accent5" xfId="29" xr:uid="{00000000-0005-0000-0000-000028000000}"/>
    <cellStyle name="40% - Accent6" xfId="30" xr:uid="{00000000-0005-0000-0000-000029000000}"/>
    <cellStyle name="40% - Colore 1" xfId="31" xr:uid="{00000000-0005-0000-0000-00002A000000}"/>
    <cellStyle name="40% - Colore 2" xfId="32" xr:uid="{00000000-0005-0000-0000-00002B000000}"/>
    <cellStyle name="40% - Colore 3" xfId="33" xr:uid="{00000000-0005-0000-0000-00002C000000}"/>
    <cellStyle name="40% - Colore 4" xfId="34" xr:uid="{00000000-0005-0000-0000-00002D000000}"/>
    <cellStyle name="40% - Colore 5" xfId="35" xr:uid="{00000000-0005-0000-0000-00002E000000}"/>
    <cellStyle name="40% - Colore 6" xfId="36" xr:uid="{00000000-0005-0000-0000-00002F000000}"/>
    <cellStyle name="60 % – Zvýraznění 1" xfId="107" builtinId="32" hidden="1"/>
    <cellStyle name="60 % – Zvýraznění 2" xfId="110" builtinId="36" hidden="1"/>
    <cellStyle name="60 % – Zvýraznění 3" xfId="113" builtinId="40" hidden="1"/>
    <cellStyle name="60 % – Zvýraznění 4" xfId="116" builtinId="44" hidden="1"/>
    <cellStyle name="60 % – Zvýraznění 5" xfId="119" builtinId="48" hidden="1"/>
    <cellStyle name="60 % – Zvýraznění 6" xfId="122" builtinId="52" hidden="1"/>
    <cellStyle name="60 % - Accent1" xfId="37" xr:uid="{00000000-0005-0000-0000-000036000000}"/>
    <cellStyle name="60 % - Accent2" xfId="38" xr:uid="{00000000-0005-0000-0000-000037000000}"/>
    <cellStyle name="60 % - Accent3" xfId="39" xr:uid="{00000000-0005-0000-0000-000038000000}"/>
    <cellStyle name="60 % - Accent4" xfId="40" xr:uid="{00000000-0005-0000-0000-000039000000}"/>
    <cellStyle name="60 % - Accent5" xfId="41" xr:uid="{00000000-0005-0000-0000-00003A000000}"/>
    <cellStyle name="60 % - Accent6" xfId="42" xr:uid="{00000000-0005-0000-0000-00003B000000}"/>
    <cellStyle name="60% - Accent1" xfId="43" xr:uid="{00000000-0005-0000-0000-00003C000000}"/>
    <cellStyle name="60% - Accent2" xfId="44" xr:uid="{00000000-0005-0000-0000-00003D000000}"/>
    <cellStyle name="60% - Accent3" xfId="45" xr:uid="{00000000-0005-0000-0000-00003E000000}"/>
    <cellStyle name="60% - Accent4" xfId="46" xr:uid="{00000000-0005-0000-0000-00003F000000}"/>
    <cellStyle name="60% - Accent5" xfId="47" xr:uid="{00000000-0005-0000-0000-000040000000}"/>
    <cellStyle name="60% - Accent6" xfId="48" xr:uid="{00000000-0005-0000-0000-000041000000}"/>
    <cellStyle name="60% - Colore 1" xfId="49" xr:uid="{00000000-0005-0000-0000-000042000000}"/>
    <cellStyle name="60% - Colore 2" xfId="50" xr:uid="{00000000-0005-0000-0000-000043000000}"/>
    <cellStyle name="60% - Colore 3" xfId="51" xr:uid="{00000000-0005-0000-0000-000044000000}"/>
    <cellStyle name="60% - Colore 4" xfId="52" xr:uid="{00000000-0005-0000-0000-000045000000}"/>
    <cellStyle name="60% - Colore 5" xfId="53" xr:uid="{00000000-0005-0000-0000-000046000000}"/>
    <cellStyle name="60% - Colore 6" xfId="54" xr:uid="{00000000-0005-0000-0000-000047000000}"/>
    <cellStyle name="Avertissement" xfId="55" xr:uid="{00000000-0005-0000-0000-000048000000}"/>
    <cellStyle name="Calcolo" xfId="56" xr:uid="{00000000-0005-0000-0000-000049000000}"/>
    <cellStyle name="Calcul" xfId="57" xr:uid="{00000000-0005-0000-0000-00004A000000}"/>
    <cellStyle name="Calculation" xfId="101" hidden="1" xr:uid="{00000000-0005-0000-0000-00004B000000}"/>
    <cellStyle name="Cella collegata" xfId="58" xr:uid="{00000000-0005-0000-0000-00004C000000}"/>
    <cellStyle name="Cella da controllare" xfId="59" xr:uid="{00000000-0005-0000-0000-00004D000000}"/>
    <cellStyle name="Cellule liée" xfId="60" xr:uid="{00000000-0005-0000-0000-00004E000000}"/>
    <cellStyle name="Colore 1" xfId="61" xr:uid="{00000000-0005-0000-0000-00004F000000}"/>
    <cellStyle name="Colore 2" xfId="62" xr:uid="{00000000-0005-0000-0000-000050000000}"/>
    <cellStyle name="Colore 3" xfId="63" xr:uid="{00000000-0005-0000-0000-000051000000}"/>
    <cellStyle name="Colore 4" xfId="64" xr:uid="{00000000-0005-0000-0000-000052000000}"/>
    <cellStyle name="Colore 5" xfId="65" xr:uid="{00000000-0005-0000-0000-000053000000}"/>
    <cellStyle name="Colore 6" xfId="66" xr:uid="{00000000-0005-0000-0000-000054000000}"/>
    <cellStyle name="Commentaire" xfId="67" xr:uid="{00000000-0005-0000-0000-000055000000}"/>
    <cellStyle name="Entrée" xfId="68" xr:uid="{00000000-0005-0000-0000-000056000000}"/>
    <cellStyle name="Euro" xfId="69" xr:uid="{00000000-0005-0000-0000-000057000000}"/>
    <cellStyle name="Input" xfId="100" hidden="1" xr:uid="{00000000-0005-0000-0000-000058000000}"/>
    <cellStyle name="Komma_P1. Other direct costs" xfId="70" xr:uid="{00000000-0005-0000-0000-000059000000}"/>
    <cellStyle name="Linked Cell" xfId="102" hidden="1" xr:uid="{00000000-0005-0000-0000-00005A000000}"/>
    <cellStyle name="Migliaia [0]_mat_01flexbench" xfId="71" xr:uid="{00000000-0005-0000-0000-00005B000000}"/>
    <cellStyle name="Millares_e tumour FUSION SICUV 04 05 06 07 Peticion documentacion" xfId="72" xr:uid="{00000000-0005-0000-0000-00005C000000}"/>
    <cellStyle name="Milliers 10" xfId="73" xr:uid="{00000000-0005-0000-0000-00005D000000}"/>
    <cellStyle name="Milliers 2" xfId="74" xr:uid="{00000000-0005-0000-0000-00005E000000}"/>
    <cellStyle name="Milliers 3" xfId="75" xr:uid="{00000000-0005-0000-0000-00005F000000}"/>
    <cellStyle name="Milliers 4" xfId="76" xr:uid="{00000000-0005-0000-0000-000060000000}"/>
    <cellStyle name="Milliers 5" xfId="77" xr:uid="{00000000-0005-0000-0000-000061000000}"/>
    <cellStyle name="Milliers 6" xfId="78" xr:uid="{00000000-0005-0000-0000-000062000000}"/>
    <cellStyle name="Milliers 7" xfId="79" xr:uid="{00000000-0005-0000-0000-000063000000}"/>
    <cellStyle name="Milliers 8" xfId="80" xr:uid="{00000000-0005-0000-0000-000064000000}"/>
    <cellStyle name="Milliers 9" xfId="81" xr:uid="{00000000-0005-0000-0000-000065000000}"/>
    <cellStyle name="Neutrale" xfId="82" xr:uid="{00000000-0005-0000-0000-000066000000}"/>
    <cellStyle name="Normal 2" xfId="83" xr:uid="{00000000-0005-0000-0000-000067000000}"/>
    <cellStyle name="Normale_calcolo costi orari metodo  grecchi per rc" xfId="84" xr:uid="{00000000-0005-0000-0000-000068000000}"/>
    <cellStyle name="Normální" xfId="0" builtinId="0"/>
    <cellStyle name="Normální 2" xfId="124" xr:uid="{90E96E47-F9E0-4090-8611-3F3D9D8A0122}"/>
    <cellStyle name="Normální 3" xfId="123" xr:uid="{33168C57-4E68-4934-B90D-DE3210F32903}"/>
    <cellStyle name="Nota" xfId="85" xr:uid="{00000000-0005-0000-0000-00006A000000}"/>
    <cellStyle name="Note" xfId="104" hidden="1" xr:uid="{00000000-0005-0000-0000-00006B000000}"/>
    <cellStyle name="Percent 2" xfId="86" xr:uid="{00000000-0005-0000-0000-00006C000000}"/>
    <cellStyle name="Pourcentage 2" xfId="87" xr:uid="{00000000-0005-0000-0000-00006D000000}"/>
    <cellStyle name="Standaard_P1. Other direct costs" xfId="88" xr:uid="{00000000-0005-0000-0000-000070000000}"/>
    <cellStyle name="Testo avviso" xfId="89" xr:uid="{00000000-0005-0000-0000-000071000000}"/>
    <cellStyle name="Testo descrittivo" xfId="90" xr:uid="{00000000-0005-0000-0000-000072000000}"/>
    <cellStyle name="Text upozornění" xfId="103" builtinId="11" hidden="1"/>
    <cellStyle name="Titolo" xfId="91" xr:uid="{00000000-0005-0000-0000-000074000000}"/>
    <cellStyle name="Titolo 1" xfId="92" xr:uid="{00000000-0005-0000-0000-000075000000}"/>
    <cellStyle name="Titolo 2" xfId="93" xr:uid="{00000000-0005-0000-0000-000076000000}"/>
    <cellStyle name="Titolo 3" xfId="94" xr:uid="{00000000-0005-0000-0000-000077000000}"/>
    <cellStyle name="Titolo 4" xfId="95" xr:uid="{00000000-0005-0000-0000-000078000000}"/>
    <cellStyle name="Totale" xfId="96" xr:uid="{00000000-0005-0000-0000-000079000000}"/>
    <cellStyle name="Valore non valido" xfId="97" xr:uid="{00000000-0005-0000-0000-00007A000000}"/>
    <cellStyle name="Valore valido" xfId="98" xr:uid="{00000000-0005-0000-0000-00007B000000}"/>
    <cellStyle name="Warning Text" xfId="99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AC41"/>
  <sheetViews>
    <sheetView showGridLines="0" tabSelected="1" topLeftCell="B1" zoomScale="110" zoomScaleNormal="110" workbookViewId="0">
      <pane xSplit="1" ySplit="3" topLeftCell="C4" activePane="bottomRight" state="frozen"/>
      <selection pane="topRight" activeCell="C1" sqref="C1"/>
      <selection pane="bottomLeft" activeCell="B4" sqref="B4"/>
      <selection pane="bottomRight" activeCell="U27" sqref="U27"/>
    </sheetView>
  </sheetViews>
  <sheetFormatPr defaultRowHeight="12.75"/>
  <cols>
    <col min="1" max="1" width="5.5" bestFit="1" customWidth="1"/>
    <col min="2" max="2" width="31.1640625" customWidth="1"/>
    <col min="3" max="3" width="6.5" customWidth="1"/>
    <col min="4" max="4" width="11.83203125" style="8" customWidth="1"/>
    <col min="5" max="5" width="16.5" style="1" customWidth="1"/>
    <col min="6" max="6" width="10.5" style="11" customWidth="1"/>
    <col min="7" max="7" width="13.1640625" style="8" customWidth="1"/>
    <col min="8" max="8" width="16.83203125" style="1" customWidth="1"/>
    <col min="9" max="9" width="10.1640625" style="11" customWidth="1"/>
    <col min="10" max="10" width="5.1640625" bestFit="1" customWidth="1"/>
    <col min="11" max="11" width="11.6640625" customWidth="1"/>
    <col min="12" max="12" width="12.5" customWidth="1"/>
    <col min="13" max="13" width="8.6640625" customWidth="1"/>
    <col min="14" max="14" width="14.6640625" style="1" customWidth="1"/>
    <col min="15" max="15" width="20.33203125" style="1" customWidth="1"/>
    <col min="16" max="16" width="14.1640625" style="1" customWidth="1"/>
    <col min="17" max="17" width="16.5" style="1" bestFit="1" customWidth="1"/>
    <col min="18" max="29" width="8.83203125" style="1"/>
  </cols>
  <sheetData>
    <row r="1" spans="1:29">
      <c r="R1" s="32"/>
      <c r="S1" s="32"/>
    </row>
    <row r="2" spans="1:29">
      <c r="B2" s="75" t="s">
        <v>0</v>
      </c>
      <c r="C2" s="75" t="s">
        <v>1</v>
      </c>
      <c r="D2" s="79" t="s">
        <v>2</v>
      </c>
      <c r="E2" s="79"/>
      <c r="F2" s="79"/>
      <c r="G2" s="76" t="s">
        <v>3</v>
      </c>
      <c r="H2" s="77"/>
      <c r="I2" s="78"/>
      <c r="K2" s="80" t="s">
        <v>67</v>
      </c>
      <c r="L2" s="80"/>
    </row>
    <row r="3" spans="1:29" s="3" customFormat="1" ht="49.9" customHeight="1">
      <c r="B3" s="75"/>
      <c r="C3" s="75"/>
      <c r="D3" s="20" t="s">
        <v>4</v>
      </c>
      <c r="E3" s="21" t="s">
        <v>5</v>
      </c>
      <c r="F3" s="22" t="s">
        <v>41</v>
      </c>
      <c r="G3" s="17" t="s">
        <v>32</v>
      </c>
      <c r="H3" s="18" t="s">
        <v>6</v>
      </c>
      <c r="I3" s="19" t="s">
        <v>25</v>
      </c>
      <c r="J3" s="13" t="s">
        <v>7</v>
      </c>
      <c r="K3" s="62" t="s">
        <v>68</v>
      </c>
      <c r="L3" s="63" t="s">
        <v>69</v>
      </c>
      <c r="N3" s="1" t="s">
        <v>30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3" customFormat="1">
      <c r="B4" s="4"/>
      <c r="C4" s="4"/>
      <c r="D4" s="7"/>
      <c r="E4" s="9"/>
      <c r="F4" s="10"/>
      <c r="G4" s="7"/>
      <c r="H4" s="9"/>
      <c r="I4" s="10"/>
      <c r="M4" s="65" t="s">
        <v>65</v>
      </c>
      <c r="N4" s="66" t="s">
        <v>28</v>
      </c>
      <c r="O4" s="66" t="s">
        <v>22</v>
      </c>
      <c r="P4" s="66" t="s">
        <v>23</v>
      </c>
      <c r="Q4" s="67" t="s">
        <v>66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3" customFormat="1">
      <c r="A5"/>
      <c r="B5" s="2" t="s">
        <v>40</v>
      </c>
      <c r="C5" s="28"/>
      <c r="D5" s="28" t="s">
        <v>37</v>
      </c>
      <c r="E5" s="28"/>
      <c r="F5" s="28"/>
      <c r="G5" s="23" t="s">
        <v>8</v>
      </c>
      <c r="H5" s="23" t="s">
        <v>8</v>
      </c>
      <c r="I5" s="23" t="s">
        <v>8</v>
      </c>
      <c r="N5" s="68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5" t="s">
        <v>9</v>
      </c>
      <c r="B6" s="12">
        <v>44958</v>
      </c>
      <c r="C6" s="2">
        <v>2023</v>
      </c>
      <c r="D6" s="28">
        <v>1.2</v>
      </c>
      <c r="E6" s="29">
        <f>3845934+61759.9</f>
        <v>3907693.9</v>
      </c>
      <c r="F6" s="25">
        <f>215/12*11*1.2</f>
        <v>236.5</v>
      </c>
      <c r="G6" s="16">
        <v>1</v>
      </c>
      <c r="H6" s="16">
        <f>161917.66+3040544.27+2684+47827.2</f>
        <v>3252973.1300000004</v>
      </c>
      <c r="I6" s="16">
        <f>'project hours'!O176</f>
        <v>210</v>
      </c>
      <c r="J6" s="14"/>
      <c r="K6" s="64"/>
      <c r="L6" s="64"/>
      <c r="M6" s="3"/>
    </row>
    <row r="7" spans="1:29">
      <c r="A7" s="6"/>
      <c r="B7" s="12" t="s">
        <v>11</v>
      </c>
      <c r="C7" s="2">
        <v>2024</v>
      </c>
      <c r="D7" s="26">
        <v>1.05</v>
      </c>
      <c r="E7" s="25">
        <f>1317205+9844.55</f>
        <v>1327049.55</v>
      </c>
      <c r="F7" s="25">
        <f>215/12*4*1.05</f>
        <v>75.250000000000014</v>
      </c>
      <c r="G7" s="16">
        <v>0.7</v>
      </c>
      <c r="H7" s="16">
        <f>124910.43+933.56+774785.58+57790.62</f>
        <v>958420.19</v>
      </c>
      <c r="I7" s="16">
        <f>'project hours'!F188</f>
        <v>56</v>
      </c>
      <c r="J7" s="14"/>
      <c r="K7" s="64">
        <v>450000</v>
      </c>
      <c r="L7" s="64">
        <v>25</v>
      </c>
      <c r="M7" s="3"/>
      <c r="Q7" s="1">
        <f>F7-I7-L7</f>
        <v>-5.7499999999999858</v>
      </c>
    </row>
    <row r="8" spans="1:29">
      <c r="A8" s="6"/>
      <c r="B8" s="43" t="s">
        <v>42</v>
      </c>
      <c r="C8" s="37"/>
      <c r="D8" s="72" t="s">
        <v>34</v>
      </c>
      <c r="E8" s="73">
        <f>SUM(E6:E7)</f>
        <v>5234743.45</v>
      </c>
      <c r="F8" s="73">
        <f>MROUND(SUM(F6:F7),0.5)</f>
        <v>312</v>
      </c>
      <c r="G8" s="15"/>
      <c r="H8" s="48">
        <f>SUM(H6:H7)</f>
        <v>4211393.32</v>
      </c>
      <c r="I8" s="48">
        <f>MROUND(SUM(I6:I7),0.5)</f>
        <v>266</v>
      </c>
      <c r="J8" s="14"/>
      <c r="K8" s="14"/>
      <c r="L8" s="14"/>
      <c r="M8" s="3">
        <f>IF(I8&gt;F8,F8-I8,0)</f>
        <v>0</v>
      </c>
      <c r="N8" s="1">
        <f>E8/F8</f>
        <v>16778.023878205127</v>
      </c>
      <c r="O8" s="47">
        <f>N8*MIN(I8+M8,I8+Q8)</f>
        <v>4366480.7143028844</v>
      </c>
      <c r="P8" s="1">
        <f>O8-H8</f>
        <v>155087.39430288412</v>
      </c>
      <c r="Q8" s="1">
        <f>SUMIFS(Q6:Q7,Q6:Q7,"&lt;0")</f>
        <v>-5.7499999999999858</v>
      </c>
    </row>
    <row r="9" spans="1:29">
      <c r="A9" s="6"/>
      <c r="B9" s="43" t="s">
        <v>29</v>
      </c>
      <c r="E9" s="11"/>
      <c r="G9" s="69"/>
      <c r="H9" s="69"/>
      <c r="I9" s="70"/>
      <c r="J9" s="24"/>
      <c r="K9" s="24"/>
      <c r="L9" s="24"/>
      <c r="M9" s="3"/>
    </row>
    <row r="10" spans="1:29">
      <c r="A10" s="6"/>
      <c r="G10" s="69"/>
      <c r="H10" s="71"/>
      <c r="I10" s="70"/>
      <c r="M10" s="3"/>
    </row>
    <row r="11" spans="1:29">
      <c r="A11" s="6"/>
      <c r="M11" s="3"/>
    </row>
    <row r="12" spans="1:29">
      <c r="B12" s="2" t="s">
        <v>43</v>
      </c>
      <c r="C12" s="26"/>
      <c r="D12" s="28" t="s">
        <v>37</v>
      </c>
      <c r="E12" s="25"/>
      <c r="F12" s="27"/>
      <c r="G12" s="23" t="s">
        <v>8</v>
      </c>
      <c r="H12" s="23" t="s">
        <v>8</v>
      </c>
      <c r="I12" s="23" t="s">
        <v>8</v>
      </c>
      <c r="J12" s="3"/>
      <c r="K12" s="3"/>
      <c r="L12" s="3"/>
      <c r="M12" s="3"/>
    </row>
    <row r="13" spans="1:29">
      <c r="A13" s="5" t="s">
        <v>9</v>
      </c>
      <c r="B13" s="12">
        <v>45251</v>
      </c>
      <c r="C13" s="2">
        <v>2023</v>
      </c>
      <c r="D13" s="26">
        <v>1</v>
      </c>
      <c r="E13" s="25">
        <f>76001+25691+1520</f>
        <v>103212</v>
      </c>
      <c r="F13" s="25">
        <v>24</v>
      </c>
      <c r="G13" s="15">
        <v>1</v>
      </c>
      <c r="H13" s="16">
        <f>76001+25691+1520</f>
        <v>103212</v>
      </c>
      <c r="I13" s="16">
        <v>25</v>
      </c>
      <c r="J13" s="14"/>
      <c r="K13" s="64"/>
      <c r="L13" s="64"/>
      <c r="M13" s="3"/>
      <c r="P13" s="41"/>
    </row>
    <row r="14" spans="1:29">
      <c r="A14" s="6"/>
      <c r="B14" s="12">
        <v>45535</v>
      </c>
      <c r="C14" s="2">
        <v>2024</v>
      </c>
      <c r="D14" s="25">
        <v>1</v>
      </c>
      <c r="E14" s="25">
        <f>224195+2241.95+75780</f>
        <v>302216.95</v>
      </c>
      <c r="F14" s="25">
        <v>71.5</v>
      </c>
      <c r="G14" s="15">
        <v>1</v>
      </c>
      <c r="H14" s="16">
        <f>224195+2241.95+75780</f>
        <v>302216.95</v>
      </c>
      <c r="I14" s="16">
        <v>84</v>
      </c>
      <c r="J14" s="14"/>
      <c r="K14" s="64"/>
      <c r="L14" s="64"/>
      <c r="M14" s="3"/>
    </row>
    <row r="15" spans="1:29">
      <c r="A15" s="6"/>
      <c r="D15" s="72" t="s">
        <v>36</v>
      </c>
      <c r="E15" s="73">
        <f>SUM(E13:E14)</f>
        <v>405428.95</v>
      </c>
      <c r="F15" s="73">
        <f>MROUND(SUM(F13:F14),0.5)</f>
        <v>95.5</v>
      </c>
      <c r="G15" s="15"/>
      <c r="H15" s="48">
        <f>SUM(H13:H14)</f>
        <v>405428.95</v>
      </c>
      <c r="I15" s="48">
        <f>MROUND(SUM(I13:I14),0.5)</f>
        <v>109</v>
      </c>
      <c r="J15" s="14"/>
      <c r="K15" s="14"/>
      <c r="L15" s="14"/>
      <c r="M15" s="3">
        <f t="shared" ref="M15:M39" si="0">IF(I15&gt;F15,F15-I15,0)</f>
        <v>-13.5</v>
      </c>
      <c r="N15" s="1">
        <f>E15/F15</f>
        <v>4245.3293193717282</v>
      </c>
      <c r="O15" s="47">
        <f>N15*MIN(I15+M15,I15+Q15)</f>
        <v>405428.95</v>
      </c>
      <c r="P15" s="1">
        <f>O15-H15</f>
        <v>0</v>
      </c>
    </row>
    <row r="16" spans="1:29">
      <c r="M16" s="3"/>
    </row>
    <row r="17" spans="1:17">
      <c r="M17" s="3"/>
    </row>
    <row r="18" spans="1:17">
      <c r="B18" s="2" t="s">
        <v>44</v>
      </c>
      <c r="C18" s="25"/>
      <c r="D18" s="28" t="s">
        <v>37</v>
      </c>
      <c r="E18" s="25"/>
      <c r="F18" s="27"/>
      <c r="G18" s="23" t="s">
        <v>8</v>
      </c>
      <c r="H18" s="23" t="s">
        <v>8</v>
      </c>
      <c r="I18" s="23" t="s">
        <v>8</v>
      </c>
      <c r="J18" s="3"/>
      <c r="K18" s="3"/>
      <c r="L18" s="3"/>
      <c r="M18" s="3"/>
    </row>
    <row r="19" spans="1:17">
      <c r="A19" s="5" t="s">
        <v>9</v>
      </c>
      <c r="B19" s="12">
        <v>45233</v>
      </c>
      <c r="C19" s="2">
        <v>2023</v>
      </c>
      <c r="D19" s="25">
        <v>1</v>
      </c>
      <c r="E19" s="25">
        <f>66469+22467+1329.38</f>
        <v>90265.38</v>
      </c>
      <c r="F19" s="25">
        <v>35</v>
      </c>
      <c r="G19" s="15">
        <v>1</v>
      </c>
      <c r="H19" s="16">
        <f>66469+22467+1329.38</f>
        <v>90265.38</v>
      </c>
      <c r="I19" s="16">
        <f>'project hours'!O63</f>
        <v>33.5</v>
      </c>
      <c r="J19" s="14"/>
      <c r="K19" s="64"/>
      <c r="L19" s="64"/>
      <c r="M19" s="3"/>
    </row>
    <row r="20" spans="1:17">
      <c r="A20" s="6"/>
      <c r="B20" s="12" t="s">
        <v>11</v>
      </c>
      <c r="C20" s="2">
        <v>2024</v>
      </c>
      <c r="D20" s="25">
        <v>1</v>
      </c>
      <c r="E20" s="25">
        <f>35408+35000+34957+35030+11969+11830+11816+11841+1403.95</f>
        <v>189254.95</v>
      </c>
      <c r="F20" s="25">
        <v>71.5</v>
      </c>
      <c r="G20" s="15">
        <v>1</v>
      </c>
      <c r="H20" s="16">
        <f>35408+35000+34957+35030+11969+11830+11816+11841+1403.95</f>
        <v>189254.95</v>
      </c>
      <c r="I20" s="16">
        <f>'project hours'!O77</f>
        <v>81</v>
      </c>
      <c r="J20" s="14"/>
      <c r="K20" s="64"/>
      <c r="L20" s="64"/>
      <c r="M20" s="3"/>
    </row>
    <row r="21" spans="1:17">
      <c r="A21" s="6"/>
      <c r="D21" s="72" t="s">
        <v>35</v>
      </c>
      <c r="E21" s="73">
        <f>SUM(E19:E20)</f>
        <v>279520.33</v>
      </c>
      <c r="F21" s="73">
        <f>MROUND(SUM(F19:F20),0.5)</f>
        <v>106.5</v>
      </c>
      <c r="G21" s="15"/>
      <c r="H21" s="48">
        <f>SUM(H19:H20)</f>
        <v>279520.33</v>
      </c>
      <c r="I21" s="48">
        <f>MROUND(SUM(I19:I20),0.5)</f>
        <v>114.5</v>
      </c>
      <c r="J21" s="14"/>
      <c r="K21" s="14"/>
      <c r="L21" s="14"/>
      <c r="M21" s="3">
        <f t="shared" si="0"/>
        <v>-8</v>
      </c>
      <c r="N21" s="74">
        <f>E21/F21</f>
        <v>2624.6040375586854</v>
      </c>
      <c r="O21" s="47">
        <f>N21*MIN(I21+M21,I21+Q21)</f>
        <v>279520.33</v>
      </c>
      <c r="P21" s="1">
        <f>O21-H21</f>
        <v>0</v>
      </c>
    </row>
    <row r="22" spans="1:17">
      <c r="M22" s="3"/>
    </row>
    <row r="23" spans="1:17">
      <c r="M23" s="3"/>
    </row>
    <row r="24" spans="1:17">
      <c r="B24" s="2" t="s">
        <v>45</v>
      </c>
      <c r="C24" s="25"/>
      <c r="D24" s="25" t="s">
        <v>37</v>
      </c>
      <c r="E24" s="25"/>
      <c r="F24" s="25"/>
      <c r="G24" s="23" t="s">
        <v>8</v>
      </c>
      <c r="H24" s="23" t="s">
        <v>8</v>
      </c>
      <c r="I24" s="23" t="s">
        <v>8</v>
      </c>
      <c r="J24" s="3"/>
      <c r="K24" s="3"/>
      <c r="L24" s="3"/>
      <c r="M24" s="3"/>
    </row>
    <row r="25" spans="1:17">
      <c r="A25" s="5" t="s">
        <v>9</v>
      </c>
      <c r="B25" s="12">
        <v>45268</v>
      </c>
      <c r="C25" s="2">
        <v>2023</v>
      </c>
      <c r="D25" s="25">
        <v>1</v>
      </c>
      <c r="E25" s="25">
        <f>26553+8976+531.06</f>
        <v>36060.06</v>
      </c>
      <c r="F25" s="25">
        <v>14</v>
      </c>
      <c r="G25" s="15">
        <v>1</v>
      </c>
      <c r="H25" s="16">
        <f>26553+8976+531.06</f>
        <v>36060.06</v>
      </c>
      <c r="I25" s="16">
        <f>'project hours'!O88</f>
        <v>14</v>
      </c>
      <c r="J25" s="14"/>
      <c r="K25" s="64"/>
      <c r="L25" s="64"/>
      <c r="M25" s="3"/>
    </row>
    <row r="26" spans="1:17">
      <c r="A26" s="6"/>
      <c r="B26" s="12" t="s">
        <v>11</v>
      </c>
      <c r="C26" s="2">
        <v>2024</v>
      </c>
      <c r="D26" s="25">
        <v>1</v>
      </c>
      <c r="E26" s="25">
        <f>35088+35000+34943+35403+1404.34+11860+11830+11811+11966</f>
        <v>189305.34</v>
      </c>
      <c r="F26" s="25">
        <v>71.5</v>
      </c>
      <c r="G26" s="15">
        <v>1</v>
      </c>
      <c r="H26" s="16">
        <f>35088+35000+34943+35403+1404.34+11860+11830+11811+11966</f>
        <v>189305.34</v>
      </c>
      <c r="I26" s="16">
        <f>'project hours'!O99</f>
        <v>69</v>
      </c>
      <c r="J26" s="14"/>
      <c r="K26" s="64"/>
      <c r="L26" s="64"/>
      <c r="M26" s="3"/>
    </row>
    <row r="27" spans="1:17">
      <c r="A27" s="6"/>
      <c r="D27" s="72" t="s">
        <v>36</v>
      </c>
      <c r="E27" s="73">
        <f>SUM(E25:E26)</f>
        <v>225365.4</v>
      </c>
      <c r="F27" s="73">
        <f>MROUND(SUM(F25:F26),0.5)</f>
        <v>85.5</v>
      </c>
      <c r="G27" s="15"/>
      <c r="H27" s="48">
        <f>SUM(H25:H26)</f>
        <v>225365.4</v>
      </c>
      <c r="I27" s="48">
        <f>MROUND(SUM(I25:I26),0.5)</f>
        <v>83</v>
      </c>
      <c r="J27" s="14"/>
      <c r="K27" s="14"/>
      <c r="L27" s="14"/>
      <c r="M27" s="3">
        <f t="shared" si="0"/>
        <v>0</v>
      </c>
      <c r="N27" s="1">
        <f>E27/F27</f>
        <v>2635.8526315789472</v>
      </c>
      <c r="O27" s="47">
        <f>N27*MIN(I27+M27,I27+Q27)</f>
        <v>218775.76842105263</v>
      </c>
      <c r="P27" s="30">
        <f>O27-H27</f>
        <v>-6589.6315789473592</v>
      </c>
    </row>
    <row r="28" spans="1:17">
      <c r="M28" s="3"/>
    </row>
    <row r="29" spans="1:17">
      <c r="M29" s="3"/>
    </row>
    <row r="30" spans="1:17">
      <c r="B30" s="2" t="s">
        <v>46</v>
      </c>
      <c r="C30" s="25"/>
      <c r="D30" s="25" t="s">
        <v>37</v>
      </c>
      <c r="E30" s="25"/>
      <c r="F30" s="25"/>
      <c r="G30" s="23" t="s">
        <v>8</v>
      </c>
      <c r="H30" s="23" t="s">
        <v>8</v>
      </c>
      <c r="I30" s="23" t="s">
        <v>8</v>
      </c>
      <c r="J30" s="3"/>
      <c r="K30" s="3"/>
      <c r="L30" s="3"/>
      <c r="M30" s="3"/>
    </row>
    <row r="31" spans="1:17">
      <c r="A31" s="5" t="s">
        <v>9</v>
      </c>
      <c r="B31" s="12">
        <v>44958</v>
      </c>
      <c r="C31" s="2">
        <v>2023</v>
      </c>
      <c r="D31" s="25">
        <v>1</v>
      </c>
      <c r="E31" s="25">
        <f>13228.34+884976.42</f>
        <v>898204.76</v>
      </c>
      <c r="F31" s="25">
        <v>197.01</v>
      </c>
      <c r="G31" s="15">
        <v>0.2</v>
      </c>
      <c r="H31" s="16">
        <f>2168.04+145041.99</f>
        <v>147210.03</v>
      </c>
      <c r="I31" s="16">
        <f>'project hours'!O132</f>
        <v>38.600000000000009</v>
      </c>
      <c r="J31" s="14"/>
      <c r="K31" s="64">
        <v>357500</v>
      </c>
      <c r="L31" s="64">
        <v>79</v>
      </c>
      <c r="M31" s="3"/>
      <c r="Q31" s="1">
        <f>F31-I31-L31</f>
        <v>79.409999999999968</v>
      </c>
    </row>
    <row r="32" spans="1:17">
      <c r="A32" s="6"/>
      <c r="B32" s="12" t="s">
        <v>11</v>
      </c>
      <c r="C32" s="2">
        <v>2024</v>
      </c>
      <c r="D32" s="25">
        <v>1</v>
      </c>
      <c r="E32" s="25">
        <f>2155.47+215547+72857</f>
        <v>290559.46999999997</v>
      </c>
      <c r="F32" s="25">
        <v>71.5</v>
      </c>
      <c r="G32" s="15">
        <v>0.2</v>
      </c>
      <c r="H32" s="16">
        <f>408.04+54598.58</f>
        <v>55006.62</v>
      </c>
      <c r="I32" s="16">
        <f>'project hours'!P143</f>
        <v>15.5</v>
      </c>
      <c r="J32" s="14"/>
      <c r="K32" s="64">
        <v>153000</v>
      </c>
      <c r="L32" s="64">
        <v>34</v>
      </c>
      <c r="M32" s="3"/>
      <c r="Q32" s="1">
        <f>F32-I32-L32</f>
        <v>22</v>
      </c>
    </row>
    <row r="33" spans="1:17">
      <c r="A33" s="6"/>
      <c r="D33" s="72" t="s">
        <v>34</v>
      </c>
      <c r="E33" s="73">
        <f>SUM(E31:E32)</f>
        <v>1188764.23</v>
      </c>
      <c r="F33" s="73">
        <f>MROUND(SUM(F31:F32),0.5)</f>
        <v>268.5</v>
      </c>
      <c r="G33" s="15"/>
      <c r="H33" s="48">
        <f>SUM(H31:H32)</f>
        <v>202216.65</v>
      </c>
      <c r="I33" s="48">
        <f>MROUND(SUM(I31:I32),0.5)</f>
        <v>54</v>
      </c>
      <c r="J33" s="14"/>
      <c r="K33" s="14"/>
      <c r="L33" s="14"/>
      <c r="M33" s="3">
        <f t="shared" si="0"/>
        <v>0</v>
      </c>
      <c r="N33" s="1">
        <f>E33/F33</f>
        <v>4427.4272998137803</v>
      </c>
      <c r="O33" s="47">
        <f>N33*MIN(I33+M33,I33+Q33)</f>
        <v>239081.07418994413</v>
      </c>
      <c r="P33" s="1">
        <f>O33-H33</f>
        <v>36864.42418994414</v>
      </c>
      <c r="Q33" s="1">
        <f>SUMIFS(Q31:Q32,Q31:Q32,"&lt;0")</f>
        <v>0</v>
      </c>
    </row>
    <row r="34" spans="1:17">
      <c r="G34" s="33"/>
      <c r="I34" s="1"/>
      <c r="J34" s="1"/>
      <c r="K34" s="1"/>
      <c r="L34" s="1"/>
      <c r="M34" s="3"/>
    </row>
    <row r="35" spans="1:17">
      <c r="H35" s="11"/>
      <c r="I35" s="1"/>
      <c r="J35" s="1"/>
      <c r="K35" s="1"/>
      <c r="L35" s="1"/>
      <c r="M35" s="3"/>
    </row>
    <row r="36" spans="1:17">
      <c r="B36" s="2" t="s">
        <v>47</v>
      </c>
      <c r="C36" s="25"/>
      <c r="D36" s="25" t="s">
        <v>37</v>
      </c>
      <c r="E36" s="25"/>
      <c r="F36" s="25"/>
      <c r="G36" s="23" t="s">
        <v>8</v>
      </c>
      <c r="H36" s="23" t="s">
        <v>8</v>
      </c>
      <c r="I36" s="23" t="s">
        <v>8</v>
      </c>
      <c r="J36" s="3"/>
      <c r="K36" s="3"/>
      <c r="L36" s="3"/>
      <c r="M36" s="3"/>
    </row>
    <row r="37" spans="1:17">
      <c r="A37" s="5" t="s">
        <v>9</v>
      </c>
      <c r="B37" s="12">
        <v>44958</v>
      </c>
      <c r="C37" s="2">
        <v>2023</v>
      </c>
      <c r="D37" s="25">
        <v>1</v>
      </c>
      <c r="E37" s="25">
        <f>11489.3+574465+194173</f>
        <v>780127.3</v>
      </c>
      <c r="F37" s="25">
        <v>197.01</v>
      </c>
      <c r="G37" s="15">
        <v>0.1</v>
      </c>
      <c r="H37" s="16">
        <f>549.28+73493.55</f>
        <v>74042.83</v>
      </c>
      <c r="I37" s="16">
        <f>'project hours'!O154</f>
        <v>19.7</v>
      </c>
      <c r="J37" s="14"/>
      <c r="K37" s="64"/>
      <c r="L37" s="64"/>
      <c r="M37" s="3"/>
    </row>
    <row r="38" spans="1:17">
      <c r="A38" s="6"/>
      <c r="B38" s="12" t="s">
        <v>11</v>
      </c>
      <c r="C38" s="2">
        <v>2024</v>
      </c>
      <c r="D38" s="25">
        <v>1</v>
      </c>
      <c r="E38" s="25">
        <f>1842.87+184287+62292</f>
        <v>248421.87</v>
      </c>
      <c r="F38" s="25">
        <v>71.5</v>
      </c>
      <c r="G38" s="15">
        <v>0.1</v>
      </c>
      <c r="H38" s="16">
        <f>204+27295.21</f>
        <v>27499.21</v>
      </c>
      <c r="I38" s="16">
        <f>'project hours'!P165</f>
        <v>7.5</v>
      </c>
      <c r="J38" s="14"/>
      <c r="K38" s="64"/>
      <c r="L38" s="64"/>
      <c r="M38" s="3"/>
    </row>
    <row r="39" spans="1:17">
      <c r="A39" s="6"/>
      <c r="D39" s="72" t="s">
        <v>34</v>
      </c>
      <c r="E39" s="73">
        <f>SUM(E37:E38)</f>
        <v>1028549.17</v>
      </c>
      <c r="F39" s="73">
        <f>MROUND(SUM(F37:F38),0.5)</f>
        <v>268.5</v>
      </c>
      <c r="G39" s="15"/>
      <c r="H39" s="48">
        <f>SUM(H37:H38)</f>
        <v>101542.04000000001</v>
      </c>
      <c r="I39" s="48">
        <f>MROUND(SUM(I37:I38),0.5)</f>
        <v>27</v>
      </c>
      <c r="J39" s="14"/>
      <c r="K39" s="14"/>
      <c r="L39" s="14"/>
      <c r="M39" s="3">
        <f t="shared" si="0"/>
        <v>0</v>
      </c>
      <c r="N39" s="1">
        <f>E39/F39</f>
        <v>3830.7231657355683</v>
      </c>
      <c r="O39" s="47">
        <f>N39*MIN(I39+M39,I39+Q39)</f>
        <v>103429.52547486035</v>
      </c>
      <c r="P39" s="1">
        <f>O39-H39</f>
        <v>1887.4854748603393</v>
      </c>
    </row>
    <row r="41" spans="1:17">
      <c r="J41" s="1"/>
      <c r="K41" s="1"/>
      <c r="L41" s="1"/>
    </row>
  </sheetData>
  <mergeCells count="5">
    <mergeCell ref="B2:B3"/>
    <mergeCell ref="C2:C3"/>
    <mergeCell ref="G2:I2"/>
    <mergeCell ref="D2:F2"/>
    <mergeCell ref="K2:L2"/>
  </mergeCells>
  <phoneticPr fontId="25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889A-24E1-439C-A105-5A2128A3E7EA}">
  <dimension ref="A1:Q191"/>
  <sheetViews>
    <sheetView zoomScale="110" zoomScaleNormal="110" workbookViewId="0">
      <selection activeCell="P188" sqref="P188"/>
    </sheetView>
  </sheetViews>
  <sheetFormatPr defaultRowHeight="12.75"/>
  <cols>
    <col min="1" max="1" width="26.33203125" customWidth="1"/>
    <col min="15" max="15" width="16.1640625" customWidth="1"/>
    <col min="16" max="16" width="18.33203125" customWidth="1"/>
    <col min="17" max="17" width="8.1640625" customWidth="1"/>
  </cols>
  <sheetData>
    <row r="1" spans="1:16">
      <c r="A1" s="34" t="s">
        <v>48</v>
      </c>
    </row>
    <row r="2" spans="1:16">
      <c r="A2" t="s">
        <v>12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  <c r="J2">
        <v>9</v>
      </c>
      <c r="K2">
        <v>10</v>
      </c>
      <c r="L2">
        <v>11</v>
      </c>
      <c r="M2">
        <v>12</v>
      </c>
      <c r="N2" t="s">
        <v>13</v>
      </c>
    </row>
    <row r="3" spans="1:16">
      <c r="A3" s="34" t="s">
        <v>14</v>
      </c>
      <c r="B3">
        <v>0</v>
      </c>
      <c r="C3">
        <v>0</v>
      </c>
      <c r="D3">
        <v>0</v>
      </c>
      <c r="E3">
        <v>0</v>
      </c>
      <c r="F3">
        <v>1</v>
      </c>
      <c r="G3">
        <v>1</v>
      </c>
      <c r="H3">
        <v>1</v>
      </c>
      <c r="I3">
        <v>1</v>
      </c>
      <c r="J3">
        <v>1</v>
      </c>
      <c r="K3">
        <v>0</v>
      </c>
      <c r="L3">
        <v>0</v>
      </c>
      <c r="M3">
        <v>0</v>
      </c>
    </row>
    <row r="4" spans="1:16">
      <c r="A4" t="s">
        <v>15</v>
      </c>
      <c r="B4">
        <f t="shared" ref="B4:E4" si="0">SUM(B6:B8)</f>
        <v>0</v>
      </c>
      <c r="C4">
        <f t="shared" si="0"/>
        <v>0</v>
      </c>
      <c r="D4">
        <f t="shared" si="0"/>
        <v>0</v>
      </c>
      <c r="E4">
        <f t="shared" si="0"/>
        <v>0</v>
      </c>
      <c r="F4">
        <v>184</v>
      </c>
      <c r="G4">
        <v>160</v>
      </c>
      <c r="H4">
        <v>184</v>
      </c>
      <c r="I4">
        <v>176</v>
      </c>
      <c r="J4">
        <v>56</v>
      </c>
      <c r="K4">
        <v>0</v>
      </c>
      <c r="L4">
        <v>0</v>
      </c>
      <c r="M4">
        <v>0</v>
      </c>
    </row>
    <row r="5" spans="1:16">
      <c r="A5" t="s">
        <v>16</v>
      </c>
      <c r="B5">
        <v>0</v>
      </c>
      <c r="C5">
        <f t="shared" ref="C5:E5" si="1">SUM(C7:C9)</f>
        <v>0</v>
      </c>
      <c r="D5">
        <f t="shared" si="1"/>
        <v>0</v>
      </c>
      <c r="E5">
        <f t="shared" si="1"/>
        <v>0</v>
      </c>
      <c r="F5">
        <v>184</v>
      </c>
      <c r="G5">
        <v>160</v>
      </c>
      <c r="H5">
        <v>184</v>
      </c>
      <c r="I5">
        <v>112</v>
      </c>
      <c r="J5">
        <v>0</v>
      </c>
      <c r="K5">
        <v>0</v>
      </c>
      <c r="L5">
        <v>0</v>
      </c>
      <c r="M5">
        <v>0</v>
      </c>
    </row>
    <row r="6" spans="1:16">
      <c r="A6" t="s">
        <v>17</v>
      </c>
      <c r="B6">
        <v>0</v>
      </c>
      <c r="C6">
        <f t="shared" ref="C6:E6" si="2">SUM(C8:C10)</f>
        <v>0</v>
      </c>
      <c r="D6">
        <f t="shared" si="2"/>
        <v>0</v>
      </c>
      <c r="E6">
        <f t="shared" si="2"/>
        <v>0</v>
      </c>
      <c r="F6">
        <v>16</v>
      </c>
      <c r="G6">
        <v>0</v>
      </c>
      <c r="H6">
        <v>8</v>
      </c>
      <c r="I6">
        <v>0</v>
      </c>
      <c r="J6">
        <v>0</v>
      </c>
      <c r="K6">
        <v>0</v>
      </c>
      <c r="L6">
        <v>0</v>
      </c>
      <c r="M6">
        <v>0</v>
      </c>
      <c r="O6" t="s">
        <v>26</v>
      </c>
    </row>
    <row r="7" spans="1:16">
      <c r="A7" t="s">
        <v>18</v>
      </c>
      <c r="B7">
        <f t="shared" ref="B7" si="3">B5-B6</f>
        <v>0</v>
      </c>
      <c r="C7">
        <f t="shared" ref="C7:E7" si="4">SUM(C9:C11)</f>
        <v>0</v>
      </c>
      <c r="D7">
        <f t="shared" si="4"/>
        <v>0</v>
      </c>
      <c r="E7">
        <f t="shared" si="4"/>
        <v>0</v>
      </c>
      <c r="F7" s="31">
        <f>F5-F6</f>
        <v>168</v>
      </c>
      <c r="G7" s="31">
        <f t="shared" ref="G7:J7" si="5">G5-G6</f>
        <v>160</v>
      </c>
      <c r="H7" s="31">
        <f t="shared" si="5"/>
        <v>176</v>
      </c>
      <c r="I7" s="31">
        <f t="shared" si="5"/>
        <v>112</v>
      </c>
      <c r="J7" s="31">
        <f t="shared" si="5"/>
        <v>0</v>
      </c>
      <c r="K7">
        <v>0</v>
      </c>
      <c r="L7">
        <v>0</v>
      </c>
      <c r="M7">
        <v>0</v>
      </c>
      <c r="O7" s="42" t="s">
        <v>27</v>
      </c>
      <c r="P7" s="42">
        <f>10/30*18</f>
        <v>6</v>
      </c>
    </row>
    <row r="8" spans="1:16">
      <c r="A8" t="s">
        <v>19</v>
      </c>
      <c r="B8">
        <v>0</v>
      </c>
      <c r="C8">
        <f t="shared" ref="C8:E8" si="6">SUM(C10:C12)</f>
        <v>0</v>
      </c>
      <c r="D8">
        <f t="shared" si="6"/>
        <v>0</v>
      </c>
      <c r="E8">
        <f t="shared" si="6"/>
        <v>0</v>
      </c>
      <c r="F8">
        <v>0</v>
      </c>
      <c r="G8">
        <v>0</v>
      </c>
      <c r="H8">
        <v>0</v>
      </c>
      <c r="I8">
        <v>32</v>
      </c>
      <c r="J8">
        <v>56</v>
      </c>
      <c r="K8">
        <v>0</v>
      </c>
      <c r="L8">
        <v>0</v>
      </c>
      <c r="M8">
        <v>0</v>
      </c>
    </row>
    <row r="9" spans="1:16">
      <c r="A9" t="s">
        <v>24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32</v>
      </c>
      <c r="J9">
        <v>0</v>
      </c>
      <c r="K9">
        <v>0</v>
      </c>
      <c r="L9">
        <v>0</v>
      </c>
      <c r="M9">
        <v>0</v>
      </c>
    </row>
    <row r="10" spans="1:16">
      <c r="A10" t="s">
        <v>20</v>
      </c>
      <c r="B10">
        <v>0</v>
      </c>
      <c r="C10">
        <v>0</v>
      </c>
      <c r="D10">
        <v>0</v>
      </c>
      <c r="E10">
        <v>0</v>
      </c>
      <c r="F10" s="31">
        <v>1</v>
      </c>
      <c r="G10" s="31">
        <v>1</v>
      </c>
      <c r="H10" s="31">
        <v>1</v>
      </c>
      <c r="I10" s="31">
        <v>1</v>
      </c>
      <c r="J10" s="31">
        <v>1</v>
      </c>
    </row>
    <row r="11" spans="1:16">
      <c r="A11" t="s">
        <v>21</v>
      </c>
      <c r="B11" s="40">
        <f>B7*B10</f>
        <v>0</v>
      </c>
      <c r="C11" s="40">
        <v>0</v>
      </c>
      <c r="D11" s="40">
        <v>0</v>
      </c>
      <c r="E11" s="40">
        <v>0</v>
      </c>
      <c r="F11" s="53">
        <v>168</v>
      </c>
      <c r="G11" s="53">
        <v>160</v>
      </c>
      <c r="H11" s="53">
        <v>176</v>
      </c>
      <c r="I11" s="53">
        <v>112</v>
      </c>
      <c r="J11" s="40">
        <v>0</v>
      </c>
      <c r="K11" s="40"/>
      <c r="L11" s="35"/>
      <c r="M11" s="35"/>
      <c r="N11" s="35">
        <f>SUM(B11:M11)</f>
        <v>616</v>
      </c>
      <c r="O11" s="49">
        <f>N11/8</f>
        <v>77</v>
      </c>
    </row>
    <row r="13" spans="1:16">
      <c r="A13" s="34" t="s">
        <v>49</v>
      </c>
    </row>
    <row r="14" spans="1:16">
      <c r="A14" t="s">
        <v>12</v>
      </c>
      <c r="B14">
        <v>1</v>
      </c>
      <c r="C14">
        <v>2</v>
      </c>
      <c r="D14">
        <v>3</v>
      </c>
      <c r="E14">
        <v>4</v>
      </c>
      <c r="F14">
        <v>5</v>
      </c>
      <c r="G14">
        <v>6</v>
      </c>
      <c r="H14">
        <v>7</v>
      </c>
      <c r="I14">
        <v>8</v>
      </c>
      <c r="J14">
        <v>9</v>
      </c>
      <c r="K14">
        <v>10</v>
      </c>
      <c r="L14">
        <v>11</v>
      </c>
      <c r="M14">
        <v>12</v>
      </c>
      <c r="N14" t="s">
        <v>13</v>
      </c>
    </row>
    <row r="15" spans="1:16">
      <c r="A15" t="s">
        <v>14</v>
      </c>
      <c r="L15">
        <v>1</v>
      </c>
      <c r="M15">
        <v>1</v>
      </c>
    </row>
    <row r="16" spans="1:16">
      <c r="A16" t="s">
        <v>15</v>
      </c>
      <c r="L16">
        <v>64</v>
      </c>
      <c r="M16">
        <v>168</v>
      </c>
    </row>
    <row r="17" spans="1:17">
      <c r="A17" t="s">
        <v>16</v>
      </c>
      <c r="L17">
        <v>64</v>
      </c>
      <c r="M17">
        <v>152</v>
      </c>
    </row>
    <row r="18" spans="1:17">
      <c r="A18" t="s">
        <v>17</v>
      </c>
      <c r="L18">
        <v>0</v>
      </c>
      <c r="M18">
        <v>16</v>
      </c>
    </row>
    <row r="19" spans="1:17">
      <c r="A19" t="s">
        <v>18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>
        <f>L17-L18</f>
        <v>64</v>
      </c>
      <c r="M19" s="31">
        <f>M17-M18</f>
        <v>136</v>
      </c>
      <c r="N19">
        <f>SUM(L19:M19)</f>
        <v>200</v>
      </c>
      <c r="P19" t="s">
        <v>33</v>
      </c>
      <c r="Q19" s="46">
        <f>215/12*(10/30)</f>
        <v>5.9722222222222223</v>
      </c>
    </row>
    <row r="20" spans="1:17">
      <c r="A20" t="s">
        <v>19</v>
      </c>
      <c r="L20">
        <v>0</v>
      </c>
      <c r="M20">
        <v>16</v>
      </c>
    </row>
    <row r="21" spans="1:17">
      <c r="A21" t="s">
        <v>20</v>
      </c>
    </row>
    <row r="22" spans="1:17">
      <c r="A22" t="s">
        <v>21</v>
      </c>
      <c r="B22" s="36"/>
      <c r="C22" s="36"/>
      <c r="D22" s="31"/>
      <c r="E22" s="31"/>
      <c r="F22" s="31"/>
      <c r="G22" s="31"/>
      <c r="H22" s="31"/>
      <c r="I22" s="31"/>
      <c r="J22" s="31"/>
      <c r="K22" s="31"/>
      <c r="L22" s="54">
        <v>64</v>
      </c>
      <c r="M22" s="54">
        <v>136</v>
      </c>
      <c r="N22" s="35">
        <f>SUM(B22:M22)</f>
        <v>200</v>
      </c>
      <c r="O22" s="49">
        <f>N22/8</f>
        <v>25</v>
      </c>
    </row>
    <row r="24" spans="1:17">
      <c r="A24" s="34" t="s">
        <v>50</v>
      </c>
    </row>
    <row r="25" spans="1:17">
      <c r="A25" t="s">
        <v>12</v>
      </c>
      <c r="B25">
        <v>1</v>
      </c>
      <c r="C25">
        <v>2</v>
      </c>
      <c r="D25">
        <v>3</v>
      </c>
      <c r="E25">
        <v>4</v>
      </c>
      <c r="F25">
        <v>5</v>
      </c>
      <c r="G25">
        <v>6</v>
      </c>
      <c r="H25">
        <v>7</v>
      </c>
      <c r="I25">
        <v>8</v>
      </c>
      <c r="J25">
        <v>9</v>
      </c>
      <c r="K25">
        <v>10</v>
      </c>
      <c r="L25">
        <v>11</v>
      </c>
      <c r="M25">
        <v>12</v>
      </c>
      <c r="N25" t="s">
        <v>13</v>
      </c>
    </row>
    <row r="26" spans="1:17">
      <c r="A26" t="s">
        <v>14</v>
      </c>
    </row>
    <row r="27" spans="1:17">
      <c r="A27" t="s">
        <v>15</v>
      </c>
      <c r="B27">
        <v>184</v>
      </c>
      <c r="C27">
        <v>168</v>
      </c>
      <c r="D27">
        <v>168</v>
      </c>
      <c r="E27">
        <v>176</v>
      </c>
    </row>
    <row r="28" spans="1:17">
      <c r="A28" t="s">
        <v>16</v>
      </c>
      <c r="B28">
        <v>184</v>
      </c>
      <c r="C28">
        <v>168</v>
      </c>
      <c r="D28">
        <v>168</v>
      </c>
      <c r="E28">
        <v>176</v>
      </c>
    </row>
    <row r="29" spans="1:17">
      <c r="A29" t="s">
        <v>17</v>
      </c>
      <c r="B29">
        <v>8</v>
      </c>
      <c r="C29">
        <v>0</v>
      </c>
      <c r="D29">
        <v>8</v>
      </c>
      <c r="E29">
        <v>8</v>
      </c>
    </row>
    <row r="30" spans="1:17">
      <c r="A30" t="s">
        <v>18</v>
      </c>
      <c r="B30" s="31">
        <f>B28-B29</f>
        <v>176</v>
      </c>
      <c r="C30" s="31">
        <f t="shared" ref="C30:E30" si="7">C28-C29</f>
        <v>168</v>
      </c>
      <c r="D30" s="31">
        <f t="shared" si="7"/>
        <v>160</v>
      </c>
      <c r="E30" s="31">
        <f t="shared" si="7"/>
        <v>168</v>
      </c>
      <c r="F30" s="31"/>
      <c r="G30" s="31"/>
      <c r="H30" s="31"/>
      <c r="I30" s="31"/>
      <c r="J30" s="31"/>
      <c r="K30" s="31"/>
      <c r="L30" s="31"/>
      <c r="M30" s="31"/>
    </row>
    <row r="31" spans="1:17">
      <c r="A31" t="s">
        <v>19</v>
      </c>
      <c r="B31">
        <v>0</v>
      </c>
      <c r="C31">
        <v>0</v>
      </c>
      <c r="D31">
        <v>0</v>
      </c>
      <c r="E31">
        <v>0</v>
      </c>
    </row>
    <row r="32" spans="1:17">
      <c r="A32" t="s">
        <v>20</v>
      </c>
      <c r="B32">
        <v>1</v>
      </c>
      <c r="C32">
        <v>1</v>
      </c>
      <c r="D32">
        <v>1</v>
      </c>
      <c r="E32">
        <v>1</v>
      </c>
    </row>
    <row r="33" spans="1:15">
      <c r="A33" t="s">
        <v>21</v>
      </c>
      <c r="B33" s="54">
        <f>B30*B32</f>
        <v>176</v>
      </c>
      <c r="C33" s="54">
        <f t="shared" ref="C33" si="8">C30*C32</f>
        <v>168</v>
      </c>
      <c r="D33" s="54">
        <f>D30*D32</f>
        <v>160</v>
      </c>
      <c r="E33" s="54">
        <f>E30*E32</f>
        <v>168</v>
      </c>
      <c r="F33" s="31"/>
      <c r="G33" s="31"/>
      <c r="H33" s="31"/>
      <c r="I33" s="31"/>
      <c r="J33" s="31"/>
      <c r="K33" s="31"/>
      <c r="L33" s="31"/>
      <c r="M33" s="31"/>
      <c r="N33" s="35">
        <f>SUM(B33:M33)</f>
        <v>672</v>
      </c>
      <c r="O33" s="49">
        <f>N33/8</f>
        <v>84</v>
      </c>
    </row>
    <row r="35" spans="1:15">
      <c r="A35" s="34" t="s">
        <v>51</v>
      </c>
    </row>
    <row r="36" spans="1:15">
      <c r="A36" t="s">
        <v>12</v>
      </c>
      <c r="B36">
        <v>1</v>
      </c>
      <c r="C36">
        <v>2</v>
      </c>
      <c r="D36">
        <v>3</v>
      </c>
      <c r="E36">
        <v>4</v>
      </c>
      <c r="F36">
        <v>5</v>
      </c>
      <c r="G36">
        <v>6</v>
      </c>
      <c r="H36">
        <v>7</v>
      </c>
      <c r="I36">
        <v>8</v>
      </c>
      <c r="J36">
        <v>9</v>
      </c>
      <c r="K36">
        <v>10</v>
      </c>
      <c r="L36">
        <v>11</v>
      </c>
      <c r="M36">
        <v>12</v>
      </c>
      <c r="N36" t="s">
        <v>13</v>
      </c>
    </row>
    <row r="37" spans="1:15">
      <c r="A37" t="s">
        <v>14</v>
      </c>
      <c r="L37">
        <v>1</v>
      </c>
      <c r="M37">
        <v>1</v>
      </c>
    </row>
    <row r="38" spans="1:15">
      <c r="A38" t="s">
        <v>15</v>
      </c>
      <c r="L38">
        <v>176</v>
      </c>
      <c r="M38">
        <v>168</v>
      </c>
    </row>
    <row r="39" spans="1:15">
      <c r="A39" t="s">
        <v>16</v>
      </c>
      <c r="L39">
        <v>176</v>
      </c>
      <c r="M39">
        <v>140</v>
      </c>
    </row>
    <row r="40" spans="1:15">
      <c r="A40" t="s">
        <v>17</v>
      </c>
      <c r="L40">
        <v>8</v>
      </c>
      <c r="M40">
        <v>16</v>
      </c>
    </row>
    <row r="41" spans="1:15">
      <c r="A41" t="s">
        <v>18</v>
      </c>
      <c r="B41" s="31"/>
      <c r="C41" s="31"/>
      <c r="D41" s="31"/>
      <c r="E41" s="31"/>
      <c r="F41" s="31">
        <f t="shared" ref="F41:M41" si="9">F39-F40</f>
        <v>0</v>
      </c>
      <c r="G41" s="31">
        <f t="shared" si="9"/>
        <v>0</v>
      </c>
      <c r="H41" s="31">
        <f t="shared" si="9"/>
        <v>0</v>
      </c>
      <c r="I41" s="31">
        <f t="shared" si="9"/>
        <v>0</v>
      </c>
      <c r="J41" s="31">
        <f t="shared" si="9"/>
        <v>0</v>
      </c>
      <c r="K41" s="31">
        <f t="shared" si="9"/>
        <v>0</v>
      </c>
      <c r="L41" s="31">
        <f t="shared" si="9"/>
        <v>168</v>
      </c>
      <c r="M41" s="31">
        <f t="shared" si="9"/>
        <v>124</v>
      </c>
      <c r="N41" s="31">
        <f>SUM(L41:M41)</f>
        <v>292</v>
      </c>
    </row>
    <row r="42" spans="1:15">
      <c r="A42" t="s">
        <v>19</v>
      </c>
      <c r="L42">
        <v>0</v>
      </c>
      <c r="M42">
        <v>28</v>
      </c>
    </row>
    <row r="43" spans="1:15">
      <c r="A43" t="s">
        <v>20</v>
      </c>
      <c r="L43">
        <v>1</v>
      </c>
      <c r="M43">
        <v>1</v>
      </c>
    </row>
    <row r="44" spans="1:15">
      <c r="A44" t="s">
        <v>21</v>
      </c>
      <c r="B44" s="36"/>
      <c r="C44" s="36"/>
      <c r="D44" s="31"/>
      <c r="E44" s="31"/>
      <c r="F44" s="31"/>
      <c r="G44" s="31"/>
      <c r="H44" s="31"/>
      <c r="I44" s="31"/>
      <c r="J44" s="31"/>
      <c r="K44" s="31"/>
      <c r="L44" s="54">
        <f>L41*L43</f>
        <v>168</v>
      </c>
      <c r="M44" s="54">
        <f>M41*M43</f>
        <v>124</v>
      </c>
      <c r="N44" s="35">
        <f>SUM(B44:M44)</f>
        <v>292</v>
      </c>
      <c r="O44" s="51">
        <f>N44/8</f>
        <v>36.5</v>
      </c>
    </row>
    <row r="45" spans="1:1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5">
      <c r="A46" s="34" t="s">
        <v>52</v>
      </c>
    </row>
    <row r="47" spans="1:15">
      <c r="A47" t="s">
        <v>12</v>
      </c>
      <c r="B47">
        <v>1</v>
      </c>
      <c r="C47">
        <v>2</v>
      </c>
      <c r="D47">
        <v>3</v>
      </c>
      <c r="E47">
        <v>4</v>
      </c>
      <c r="F47">
        <v>5</v>
      </c>
      <c r="G47">
        <v>6</v>
      </c>
      <c r="H47">
        <v>7</v>
      </c>
      <c r="I47">
        <v>8</v>
      </c>
      <c r="J47">
        <v>9</v>
      </c>
      <c r="K47">
        <v>10</v>
      </c>
      <c r="L47">
        <v>11</v>
      </c>
      <c r="M47">
        <v>12</v>
      </c>
      <c r="N47" t="s">
        <v>13</v>
      </c>
    </row>
    <row r="48" spans="1:15">
      <c r="A48" t="s">
        <v>14</v>
      </c>
    </row>
    <row r="49" spans="1:15">
      <c r="A49" t="s">
        <v>15</v>
      </c>
      <c r="B49">
        <v>184</v>
      </c>
      <c r="C49">
        <v>168</v>
      </c>
      <c r="D49">
        <v>168</v>
      </c>
      <c r="E49">
        <v>176</v>
      </c>
    </row>
    <row r="50" spans="1:15">
      <c r="A50" t="s">
        <v>16</v>
      </c>
      <c r="B50">
        <v>152</v>
      </c>
      <c r="C50">
        <v>168</v>
      </c>
      <c r="D50">
        <v>160</v>
      </c>
      <c r="E50">
        <v>136</v>
      </c>
    </row>
    <row r="51" spans="1:15">
      <c r="A51" t="s">
        <v>17</v>
      </c>
      <c r="B51">
        <v>8</v>
      </c>
      <c r="C51">
        <v>0</v>
      </c>
      <c r="D51">
        <v>8</v>
      </c>
      <c r="E51">
        <v>8</v>
      </c>
    </row>
    <row r="52" spans="1:15">
      <c r="A52" t="s">
        <v>18</v>
      </c>
      <c r="B52" s="31">
        <f>B50-B51</f>
        <v>144</v>
      </c>
      <c r="C52" s="31">
        <f t="shared" ref="C52:E52" si="10">C50-C51</f>
        <v>168</v>
      </c>
      <c r="D52" s="31">
        <f t="shared" si="10"/>
        <v>152</v>
      </c>
      <c r="E52" s="31">
        <f t="shared" si="10"/>
        <v>128</v>
      </c>
      <c r="F52" s="31"/>
      <c r="G52" s="31"/>
      <c r="H52" s="31"/>
      <c r="I52" s="31"/>
      <c r="J52" s="31"/>
      <c r="K52" s="31"/>
      <c r="L52" s="31"/>
      <c r="M52" s="31"/>
      <c r="N52">
        <f>SUM(B52:M52)</f>
        <v>592</v>
      </c>
    </row>
    <row r="53" spans="1:15">
      <c r="A53" t="s">
        <v>19</v>
      </c>
      <c r="B53">
        <v>32</v>
      </c>
      <c r="C53">
        <v>0</v>
      </c>
      <c r="D53">
        <v>8</v>
      </c>
      <c r="E53">
        <v>40</v>
      </c>
    </row>
    <row r="54" spans="1:15">
      <c r="A54" t="s">
        <v>20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</row>
    <row r="55" spans="1:15">
      <c r="A55" t="s">
        <v>21</v>
      </c>
      <c r="B55" s="54">
        <f>B52*B54</f>
        <v>144</v>
      </c>
      <c r="C55" s="54">
        <f t="shared" ref="C55" si="11">C52*C54</f>
        <v>168</v>
      </c>
      <c r="D55" s="54">
        <f>D52*D54</f>
        <v>152</v>
      </c>
      <c r="E55" s="54">
        <f>E52*E54</f>
        <v>128</v>
      </c>
      <c r="F55" s="31"/>
      <c r="G55" s="31"/>
      <c r="H55" s="31"/>
      <c r="I55" s="31"/>
      <c r="J55" s="31"/>
      <c r="K55" s="31"/>
      <c r="L55" s="31"/>
      <c r="M55" s="31"/>
      <c r="N55" s="35">
        <f>SUM(B55:M55)</f>
        <v>592</v>
      </c>
      <c r="O55" s="49">
        <f>N55/8</f>
        <v>74</v>
      </c>
    </row>
    <row r="57" spans="1:15">
      <c r="A57" s="34" t="s">
        <v>53</v>
      </c>
    </row>
    <row r="58" spans="1:15">
      <c r="A58" t="s">
        <v>12</v>
      </c>
      <c r="B58">
        <v>1</v>
      </c>
      <c r="C58">
        <v>2</v>
      </c>
      <c r="D58">
        <v>3</v>
      </c>
      <c r="E58">
        <v>4</v>
      </c>
      <c r="F58">
        <v>5</v>
      </c>
      <c r="G58">
        <v>6</v>
      </c>
      <c r="H58">
        <v>7</v>
      </c>
      <c r="I58">
        <v>8</v>
      </c>
      <c r="J58">
        <v>9</v>
      </c>
      <c r="K58">
        <v>10</v>
      </c>
      <c r="L58">
        <v>11</v>
      </c>
      <c r="M58">
        <v>12</v>
      </c>
      <c r="N58" t="s">
        <v>13</v>
      </c>
    </row>
    <row r="59" spans="1:15">
      <c r="A59" t="s">
        <v>14</v>
      </c>
      <c r="L59">
        <v>1</v>
      </c>
      <c r="M59">
        <v>1</v>
      </c>
    </row>
    <row r="60" spans="1:15">
      <c r="A60" t="s">
        <v>15</v>
      </c>
      <c r="L60">
        <v>160</v>
      </c>
      <c r="M60">
        <v>168</v>
      </c>
    </row>
    <row r="61" spans="1:15">
      <c r="A61" t="s">
        <v>16</v>
      </c>
      <c r="L61">
        <v>160</v>
      </c>
      <c r="M61">
        <v>132</v>
      </c>
    </row>
    <row r="62" spans="1:15">
      <c r="A62" t="s">
        <v>17</v>
      </c>
      <c r="L62">
        <v>8</v>
      </c>
      <c r="M62">
        <v>16</v>
      </c>
    </row>
    <row r="63" spans="1:15">
      <c r="A63" t="s">
        <v>18</v>
      </c>
      <c r="B63" s="31"/>
      <c r="C63" s="31"/>
      <c r="D63" s="31"/>
      <c r="E63" s="31"/>
      <c r="F63" s="31">
        <f t="shared" ref="F63:M63" si="12">F61-F62</f>
        <v>0</v>
      </c>
      <c r="G63" s="31">
        <f t="shared" si="12"/>
        <v>0</v>
      </c>
      <c r="H63" s="31">
        <f t="shared" si="12"/>
        <v>0</v>
      </c>
      <c r="I63" s="31">
        <f t="shared" si="12"/>
        <v>0</v>
      </c>
      <c r="J63" s="31">
        <f t="shared" si="12"/>
        <v>0</v>
      </c>
      <c r="K63" s="31">
        <f t="shared" si="12"/>
        <v>0</v>
      </c>
      <c r="L63" s="31">
        <f t="shared" si="12"/>
        <v>152</v>
      </c>
      <c r="M63" s="31">
        <f t="shared" si="12"/>
        <v>116</v>
      </c>
      <c r="N63" s="31">
        <f>SUM(L63:M63)</f>
        <v>268</v>
      </c>
      <c r="O63" s="49">
        <f>N63/8</f>
        <v>33.5</v>
      </c>
    </row>
    <row r="64" spans="1:15">
      <c r="A64" t="s">
        <v>19</v>
      </c>
      <c r="L64">
        <v>0</v>
      </c>
      <c r="M64">
        <v>36</v>
      </c>
    </row>
    <row r="65" spans="1:15">
      <c r="A65" t="s">
        <v>20</v>
      </c>
      <c r="L65">
        <v>1</v>
      </c>
      <c r="M65">
        <v>1</v>
      </c>
    </row>
    <row r="66" spans="1:15">
      <c r="A66" t="s">
        <v>21</v>
      </c>
      <c r="B66" s="36"/>
      <c r="C66" s="36"/>
      <c r="D66" s="31"/>
      <c r="E66" s="31"/>
      <c r="F66" s="31"/>
      <c r="G66" s="31"/>
      <c r="H66" s="31"/>
      <c r="I66" s="31"/>
      <c r="J66" s="31"/>
      <c r="K66" s="31"/>
      <c r="L66" s="54">
        <f>L63*L65</f>
        <v>152</v>
      </c>
      <c r="M66" s="54">
        <f>M63*M65</f>
        <v>116</v>
      </c>
      <c r="N66" s="35">
        <f>SUM(B66:M66)</f>
        <v>268</v>
      </c>
    </row>
    <row r="68" spans="1:15">
      <c r="A68" s="34" t="s">
        <v>54</v>
      </c>
    </row>
    <row r="69" spans="1:15">
      <c r="A69" t="s">
        <v>12</v>
      </c>
      <c r="B69">
        <v>1</v>
      </c>
      <c r="C69">
        <v>2</v>
      </c>
      <c r="D69">
        <v>3</v>
      </c>
      <c r="E69">
        <v>4</v>
      </c>
      <c r="F69">
        <v>5</v>
      </c>
      <c r="G69">
        <v>6</v>
      </c>
      <c r="H69">
        <v>7</v>
      </c>
      <c r="I69">
        <v>8</v>
      </c>
      <c r="J69">
        <v>9</v>
      </c>
      <c r="K69">
        <v>10</v>
      </c>
      <c r="L69">
        <v>11</v>
      </c>
      <c r="M69">
        <v>12</v>
      </c>
      <c r="N69" t="s">
        <v>13</v>
      </c>
    </row>
    <row r="70" spans="1:15">
      <c r="A70" t="s">
        <v>14</v>
      </c>
    </row>
    <row r="71" spans="1:15">
      <c r="A71" t="s">
        <v>15</v>
      </c>
      <c r="B71">
        <v>184</v>
      </c>
      <c r="C71">
        <v>168</v>
      </c>
      <c r="D71">
        <v>168</v>
      </c>
      <c r="E71">
        <v>176</v>
      </c>
    </row>
    <row r="72" spans="1:15">
      <c r="A72" t="s">
        <v>16</v>
      </c>
      <c r="B72">
        <v>160</v>
      </c>
      <c r="C72">
        <v>168</v>
      </c>
      <c r="D72">
        <v>168</v>
      </c>
      <c r="E72">
        <v>176</v>
      </c>
    </row>
    <row r="73" spans="1:15">
      <c r="A73" t="s">
        <v>17</v>
      </c>
      <c r="B73">
        <v>8</v>
      </c>
      <c r="C73">
        <v>0</v>
      </c>
      <c r="D73">
        <v>8</v>
      </c>
      <c r="E73">
        <v>8</v>
      </c>
    </row>
    <row r="74" spans="1:15">
      <c r="A74" t="s">
        <v>18</v>
      </c>
      <c r="B74" s="31">
        <f>B72-B73</f>
        <v>152</v>
      </c>
      <c r="C74" s="31">
        <f t="shared" ref="C74:E74" si="13">C72-C73</f>
        <v>168</v>
      </c>
      <c r="D74" s="31">
        <f t="shared" si="13"/>
        <v>160</v>
      </c>
      <c r="E74" s="31">
        <f t="shared" si="13"/>
        <v>168</v>
      </c>
      <c r="F74" s="31"/>
      <c r="G74" s="31"/>
      <c r="H74" s="31"/>
      <c r="I74" s="31"/>
      <c r="J74" s="31"/>
      <c r="K74" s="31"/>
      <c r="L74" s="31"/>
      <c r="M74" s="31"/>
      <c r="N74">
        <f>SUM(B74:M74)</f>
        <v>648</v>
      </c>
    </row>
    <row r="75" spans="1:15">
      <c r="A75" t="s">
        <v>19</v>
      </c>
      <c r="B75">
        <v>24</v>
      </c>
      <c r="C75">
        <v>0</v>
      </c>
      <c r="D75">
        <v>0</v>
      </c>
      <c r="E75">
        <v>0</v>
      </c>
    </row>
    <row r="76" spans="1:15">
      <c r="A76" t="s">
        <v>20</v>
      </c>
      <c r="B76">
        <v>1</v>
      </c>
      <c r="C76">
        <v>1</v>
      </c>
      <c r="D76">
        <v>1</v>
      </c>
      <c r="E76">
        <v>1</v>
      </c>
    </row>
    <row r="77" spans="1:15">
      <c r="A77" t="s">
        <v>21</v>
      </c>
      <c r="B77" s="54">
        <f>B74*B76</f>
        <v>152</v>
      </c>
      <c r="C77" s="54">
        <f t="shared" ref="C77" si="14">C74*C76</f>
        <v>168</v>
      </c>
      <c r="D77" s="54">
        <f>D74*D76</f>
        <v>160</v>
      </c>
      <c r="E77" s="54">
        <f>E74*E76</f>
        <v>168</v>
      </c>
      <c r="F77" s="31"/>
      <c r="G77" s="31"/>
      <c r="H77" s="31"/>
      <c r="I77" s="31"/>
      <c r="J77" s="31"/>
      <c r="K77" s="31"/>
      <c r="L77" s="31"/>
      <c r="M77" s="31"/>
      <c r="N77" s="35">
        <f>SUM(B77:M77)</f>
        <v>648</v>
      </c>
      <c r="O77" s="49">
        <f>N77/8</f>
        <v>81</v>
      </c>
    </row>
    <row r="78" spans="1:15" ht="12" customHeight="1">
      <c r="A78" s="37"/>
      <c r="B78" s="37"/>
      <c r="C78" s="3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</row>
    <row r="79" spans="1:15">
      <c r="A79" s="34" t="s">
        <v>55</v>
      </c>
    </row>
    <row r="80" spans="1:15">
      <c r="A80" t="s">
        <v>12</v>
      </c>
      <c r="B80">
        <v>1</v>
      </c>
      <c r="C80">
        <v>2</v>
      </c>
      <c r="D80">
        <v>3</v>
      </c>
      <c r="E80">
        <v>4</v>
      </c>
      <c r="F80">
        <v>5</v>
      </c>
      <c r="G80">
        <v>6</v>
      </c>
      <c r="H80">
        <v>7</v>
      </c>
      <c r="I80">
        <v>8</v>
      </c>
      <c r="J80">
        <v>9</v>
      </c>
      <c r="K80">
        <v>10</v>
      </c>
      <c r="L80">
        <v>11</v>
      </c>
      <c r="M80">
        <v>12</v>
      </c>
      <c r="N80" t="s">
        <v>13</v>
      </c>
    </row>
    <row r="81" spans="1:15">
      <c r="A81" t="s">
        <v>14</v>
      </c>
    </row>
    <row r="82" spans="1:15">
      <c r="A82" t="s">
        <v>15</v>
      </c>
      <c r="M82">
        <v>128</v>
      </c>
    </row>
    <row r="83" spans="1:15">
      <c r="A83" t="s">
        <v>16</v>
      </c>
      <c r="M83">
        <v>128</v>
      </c>
    </row>
    <row r="84" spans="1:15">
      <c r="A84" t="s">
        <v>17</v>
      </c>
      <c r="M84">
        <v>16</v>
      </c>
    </row>
    <row r="85" spans="1:15">
      <c r="A85" t="s">
        <v>18</v>
      </c>
      <c r="B85" s="31"/>
      <c r="C85" s="31"/>
      <c r="D85" s="31"/>
      <c r="E85" s="31"/>
      <c r="F85" s="31">
        <f t="shared" ref="F85:M85" si="15">F83-F84</f>
        <v>0</v>
      </c>
      <c r="G85" s="31">
        <f t="shared" si="15"/>
        <v>0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31">
        <f t="shared" si="15"/>
        <v>112</v>
      </c>
      <c r="N85" s="31">
        <f>SUM(M85)</f>
        <v>112</v>
      </c>
    </row>
    <row r="86" spans="1:15">
      <c r="A86" t="s">
        <v>19</v>
      </c>
      <c r="M86">
        <v>0</v>
      </c>
    </row>
    <row r="87" spans="1:15">
      <c r="A87" t="s">
        <v>20</v>
      </c>
      <c r="M87">
        <v>1</v>
      </c>
    </row>
    <row r="88" spans="1:15">
      <c r="A88" t="s">
        <v>21</v>
      </c>
      <c r="B88" s="36"/>
      <c r="C88" s="36"/>
      <c r="D88" s="36"/>
      <c r="E88" s="36"/>
      <c r="F88" s="36">
        <f t="shared" ref="F88:M88" si="16">F85*F87</f>
        <v>0</v>
      </c>
      <c r="G88" s="36">
        <f t="shared" si="16"/>
        <v>0</v>
      </c>
      <c r="H88" s="36">
        <f t="shared" si="16"/>
        <v>0</v>
      </c>
      <c r="I88" s="36">
        <f t="shared" si="16"/>
        <v>0</v>
      </c>
      <c r="J88" s="36">
        <f t="shared" si="16"/>
        <v>0</v>
      </c>
      <c r="K88" s="36">
        <f t="shared" si="16"/>
        <v>0</v>
      </c>
      <c r="L88" s="36">
        <f t="shared" si="16"/>
        <v>0</v>
      </c>
      <c r="M88" s="54">
        <f t="shared" si="16"/>
        <v>112</v>
      </c>
      <c r="N88" s="35">
        <f>SUM(B88:M88)</f>
        <v>112</v>
      </c>
      <c r="O88" s="52">
        <f>N88/8</f>
        <v>14</v>
      </c>
    </row>
    <row r="89" spans="1:15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</row>
    <row r="90" spans="1:15">
      <c r="A90" s="34" t="s">
        <v>56</v>
      </c>
    </row>
    <row r="91" spans="1:15">
      <c r="A91" t="s">
        <v>12</v>
      </c>
      <c r="B91">
        <v>1</v>
      </c>
      <c r="C91">
        <v>2</v>
      </c>
      <c r="D91">
        <v>3</v>
      </c>
      <c r="E91">
        <v>4</v>
      </c>
      <c r="F91">
        <v>5</v>
      </c>
      <c r="G91">
        <v>6</v>
      </c>
      <c r="H91">
        <v>7</v>
      </c>
      <c r="I91">
        <v>8</v>
      </c>
      <c r="J91">
        <v>9</v>
      </c>
      <c r="K91">
        <v>10</v>
      </c>
      <c r="L91">
        <v>11</v>
      </c>
      <c r="M91">
        <v>12</v>
      </c>
      <c r="N91" t="s">
        <v>13</v>
      </c>
    </row>
    <row r="92" spans="1:15">
      <c r="A92" t="s">
        <v>14</v>
      </c>
    </row>
    <row r="93" spans="1:15">
      <c r="A93" t="s">
        <v>15</v>
      </c>
      <c r="B93">
        <v>184</v>
      </c>
      <c r="C93">
        <v>168</v>
      </c>
      <c r="D93">
        <v>168</v>
      </c>
      <c r="E93">
        <v>176</v>
      </c>
    </row>
    <row r="94" spans="1:15">
      <c r="A94" t="s">
        <v>16</v>
      </c>
      <c r="B94">
        <v>184</v>
      </c>
      <c r="C94">
        <v>168</v>
      </c>
      <c r="D94">
        <v>168</v>
      </c>
      <c r="E94">
        <v>56</v>
      </c>
    </row>
    <row r="95" spans="1:15">
      <c r="A95" t="s">
        <v>17</v>
      </c>
      <c r="B95">
        <v>8</v>
      </c>
      <c r="C95">
        <v>0</v>
      </c>
      <c r="D95">
        <v>8</v>
      </c>
      <c r="E95">
        <v>8</v>
      </c>
    </row>
    <row r="96" spans="1:15">
      <c r="A96" t="s">
        <v>18</v>
      </c>
      <c r="B96" s="31">
        <f>B94-B95</f>
        <v>176</v>
      </c>
      <c r="C96" s="31">
        <f t="shared" ref="C96:E96" si="17">C94-C95</f>
        <v>168</v>
      </c>
      <c r="D96" s="31">
        <f t="shared" si="17"/>
        <v>160</v>
      </c>
      <c r="E96" s="31">
        <f t="shared" si="17"/>
        <v>48</v>
      </c>
      <c r="F96" s="31"/>
      <c r="G96" s="31"/>
      <c r="H96" s="31"/>
      <c r="I96" s="31"/>
      <c r="J96" s="31"/>
      <c r="K96" s="31"/>
      <c r="L96" s="31"/>
      <c r="M96" s="31"/>
      <c r="N96">
        <f>SUM(B96:M96)</f>
        <v>552</v>
      </c>
    </row>
    <row r="97" spans="1:15">
      <c r="A97" t="s">
        <v>19</v>
      </c>
      <c r="B97">
        <v>0</v>
      </c>
      <c r="C97">
        <v>0</v>
      </c>
      <c r="D97">
        <v>0</v>
      </c>
      <c r="E97">
        <v>120</v>
      </c>
    </row>
    <row r="98" spans="1:15">
      <c r="A98" t="s">
        <v>20</v>
      </c>
      <c r="B98">
        <v>1</v>
      </c>
      <c r="C98">
        <v>1</v>
      </c>
      <c r="D98">
        <v>1</v>
      </c>
      <c r="E98">
        <v>1</v>
      </c>
    </row>
    <row r="99" spans="1:15">
      <c r="A99" t="s">
        <v>21</v>
      </c>
      <c r="B99" s="54">
        <f>B96*B98</f>
        <v>176</v>
      </c>
      <c r="C99" s="54">
        <f t="shared" ref="C99" si="18">C96*C98</f>
        <v>168</v>
      </c>
      <c r="D99" s="54">
        <f>D96*D98</f>
        <v>160</v>
      </c>
      <c r="E99" s="54">
        <f>E96*E98</f>
        <v>48</v>
      </c>
      <c r="F99" s="31"/>
      <c r="G99" s="31"/>
      <c r="H99" s="31"/>
      <c r="I99" s="31"/>
      <c r="J99" s="31"/>
      <c r="K99" s="31"/>
      <c r="L99" s="31"/>
      <c r="M99" s="31"/>
      <c r="N99" s="35">
        <f>SUM(B99:M99)</f>
        <v>552</v>
      </c>
      <c r="O99" s="49">
        <f>N99/8</f>
        <v>69</v>
      </c>
    </row>
    <row r="100" spans="1:1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>
      <c r="A101" s="34" t="s">
        <v>57</v>
      </c>
    </row>
    <row r="102" spans="1:15">
      <c r="A102" t="s">
        <v>12</v>
      </c>
      <c r="B102">
        <v>1</v>
      </c>
      <c r="C102">
        <v>2</v>
      </c>
      <c r="D102">
        <v>3</v>
      </c>
      <c r="E102">
        <v>4</v>
      </c>
      <c r="F102">
        <v>5</v>
      </c>
      <c r="G102">
        <v>6</v>
      </c>
      <c r="H102">
        <v>7</v>
      </c>
      <c r="I102">
        <v>8</v>
      </c>
      <c r="J102">
        <v>9</v>
      </c>
      <c r="K102">
        <v>10</v>
      </c>
      <c r="L102">
        <v>11</v>
      </c>
      <c r="M102">
        <v>12</v>
      </c>
      <c r="N102" t="s">
        <v>13</v>
      </c>
    </row>
    <row r="103" spans="1:15">
      <c r="A103" t="s">
        <v>14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</row>
    <row r="104" spans="1:15">
      <c r="A104" t="s">
        <v>15</v>
      </c>
      <c r="L104">
        <v>176</v>
      </c>
      <c r="M104">
        <v>168</v>
      </c>
    </row>
    <row r="105" spans="1:15">
      <c r="A105" t="s">
        <v>16</v>
      </c>
      <c r="L105">
        <v>176</v>
      </c>
      <c r="M105">
        <v>168</v>
      </c>
    </row>
    <row r="106" spans="1:15">
      <c r="A106" t="s">
        <v>17</v>
      </c>
      <c r="L106">
        <v>8</v>
      </c>
      <c r="M106">
        <v>16</v>
      </c>
    </row>
    <row r="107" spans="1:15">
      <c r="A107" t="s">
        <v>18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>
        <f t="shared" ref="L107:M107" si="19">L105-L106</f>
        <v>168</v>
      </c>
      <c r="M107" s="31">
        <f t="shared" si="19"/>
        <v>152</v>
      </c>
      <c r="N107">
        <f>SUM(K107:M107)</f>
        <v>320</v>
      </c>
    </row>
    <row r="108" spans="1:15">
      <c r="A108" t="s">
        <v>19</v>
      </c>
      <c r="L108">
        <v>0</v>
      </c>
      <c r="M108">
        <v>0</v>
      </c>
    </row>
    <row r="109" spans="1:15">
      <c r="A109" t="s">
        <v>20</v>
      </c>
      <c r="L109">
        <v>0.5</v>
      </c>
      <c r="M109">
        <v>0.5</v>
      </c>
    </row>
    <row r="110" spans="1:15">
      <c r="A110" t="s">
        <v>21</v>
      </c>
      <c r="B110" s="36"/>
      <c r="C110" s="36"/>
      <c r="D110" s="31"/>
      <c r="E110" s="31"/>
      <c r="F110" s="31"/>
      <c r="G110" s="31"/>
      <c r="H110" s="31"/>
      <c r="I110" s="31"/>
      <c r="J110" s="31"/>
      <c r="K110" s="31"/>
      <c r="L110" s="54">
        <f t="shared" ref="L110:M110" si="20">L107*L109</f>
        <v>84</v>
      </c>
      <c r="M110" s="54">
        <f t="shared" si="20"/>
        <v>76</v>
      </c>
      <c r="N110" s="35">
        <f>SUM(B110:M110)</f>
        <v>160</v>
      </c>
      <c r="O110" s="49">
        <f>N110/8</f>
        <v>20</v>
      </c>
    </row>
    <row r="111" spans="1:1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</row>
    <row r="112" spans="1:15">
      <c r="A112" s="34" t="s">
        <v>58</v>
      </c>
    </row>
    <row r="113" spans="1:15">
      <c r="A113" t="s">
        <v>12</v>
      </c>
      <c r="B113">
        <v>1</v>
      </c>
      <c r="C113">
        <v>2</v>
      </c>
      <c r="D113">
        <v>3</v>
      </c>
      <c r="E113">
        <v>4</v>
      </c>
      <c r="F113">
        <v>5</v>
      </c>
      <c r="G113">
        <v>6</v>
      </c>
      <c r="H113">
        <v>7</v>
      </c>
      <c r="I113">
        <v>8</v>
      </c>
      <c r="J113">
        <v>9</v>
      </c>
      <c r="K113">
        <v>10</v>
      </c>
      <c r="L113">
        <v>11</v>
      </c>
      <c r="M113">
        <v>12</v>
      </c>
      <c r="N113" t="s">
        <v>13</v>
      </c>
    </row>
    <row r="114" spans="1:15">
      <c r="A114" t="s">
        <v>14</v>
      </c>
    </row>
    <row r="115" spans="1:15">
      <c r="A115" t="s">
        <v>15</v>
      </c>
      <c r="B115">
        <v>184</v>
      </c>
      <c r="C115">
        <v>168</v>
      </c>
      <c r="D115">
        <v>168</v>
      </c>
      <c r="E115">
        <v>176</v>
      </c>
    </row>
    <row r="116" spans="1:15">
      <c r="A116" t="s">
        <v>16</v>
      </c>
      <c r="B116">
        <v>184</v>
      </c>
      <c r="C116">
        <v>168</v>
      </c>
      <c r="D116">
        <v>168</v>
      </c>
      <c r="E116">
        <v>176</v>
      </c>
    </row>
    <row r="117" spans="1:15">
      <c r="A117" t="s">
        <v>17</v>
      </c>
      <c r="B117">
        <v>8</v>
      </c>
      <c r="C117">
        <v>0</v>
      </c>
      <c r="D117">
        <v>0</v>
      </c>
      <c r="E117">
        <v>8</v>
      </c>
    </row>
    <row r="118" spans="1:15">
      <c r="A118" t="s">
        <v>18</v>
      </c>
      <c r="B118" s="31">
        <f>B116-B117</f>
        <v>176</v>
      </c>
      <c r="C118" s="31">
        <f t="shared" ref="C118:E118" si="21">C116-C117</f>
        <v>168</v>
      </c>
      <c r="D118" s="31">
        <f t="shared" si="21"/>
        <v>168</v>
      </c>
      <c r="E118" s="31">
        <f t="shared" si="21"/>
        <v>168</v>
      </c>
      <c r="F118" s="31"/>
      <c r="G118" s="31"/>
      <c r="H118" s="31"/>
      <c r="I118" s="31"/>
      <c r="J118" s="31"/>
      <c r="K118" s="31"/>
      <c r="L118" s="31"/>
      <c r="M118" s="31"/>
      <c r="N118">
        <f>SUM(B118:M118)</f>
        <v>680</v>
      </c>
    </row>
    <row r="119" spans="1:15">
      <c r="A119" t="s">
        <v>19</v>
      </c>
      <c r="B119">
        <v>0</v>
      </c>
      <c r="C119">
        <v>0</v>
      </c>
      <c r="D119">
        <v>8</v>
      </c>
      <c r="E119">
        <v>0</v>
      </c>
    </row>
    <row r="120" spans="1:15">
      <c r="A120" t="s">
        <v>20</v>
      </c>
      <c r="B120">
        <v>0.5</v>
      </c>
      <c r="C120">
        <v>0.5</v>
      </c>
      <c r="D120">
        <v>0.5</v>
      </c>
      <c r="E120">
        <v>0.5</v>
      </c>
    </row>
    <row r="121" spans="1:15">
      <c r="A121" t="s">
        <v>21</v>
      </c>
      <c r="B121" s="54">
        <f>B118*B120</f>
        <v>88</v>
      </c>
      <c r="C121" s="54">
        <f t="shared" ref="C121" si="22">C118*C120</f>
        <v>84</v>
      </c>
      <c r="D121" s="54">
        <f>D118*D120</f>
        <v>84</v>
      </c>
      <c r="E121" s="54">
        <f>E118*E120</f>
        <v>84</v>
      </c>
      <c r="F121" s="31"/>
      <c r="G121" s="31"/>
      <c r="H121" s="31"/>
      <c r="I121" s="31"/>
      <c r="J121" s="31"/>
      <c r="K121" s="31"/>
      <c r="L121" s="31"/>
      <c r="M121" s="31"/>
      <c r="N121" s="35">
        <f>SUM(B121:M121)</f>
        <v>340</v>
      </c>
      <c r="O121" s="49">
        <f>N121/8</f>
        <v>42.5</v>
      </c>
    </row>
    <row r="122" spans="1:1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5">
      <c r="A123" s="34" t="s">
        <v>59</v>
      </c>
    </row>
    <row r="124" spans="1:15">
      <c r="A124" t="s">
        <v>12</v>
      </c>
      <c r="B124">
        <v>1</v>
      </c>
      <c r="C124">
        <v>2</v>
      </c>
      <c r="D124">
        <v>3</v>
      </c>
      <c r="E124">
        <v>4</v>
      </c>
      <c r="F124">
        <v>5</v>
      </c>
      <c r="G124">
        <v>6</v>
      </c>
      <c r="H124">
        <v>7</v>
      </c>
      <c r="I124">
        <v>8</v>
      </c>
      <c r="J124">
        <v>9</v>
      </c>
      <c r="K124">
        <v>10</v>
      </c>
      <c r="L124">
        <v>11</v>
      </c>
      <c r="M124">
        <v>12</v>
      </c>
      <c r="N124" t="s">
        <v>13</v>
      </c>
    </row>
    <row r="125" spans="1:15">
      <c r="A125" t="s">
        <v>14</v>
      </c>
    </row>
    <row r="126" spans="1:15">
      <c r="A126" t="s">
        <v>15</v>
      </c>
      <c r="C126">
        <v>160</v>
      </c>
      <c r="D126">
        <v>184</v>
      </c>
      <c r="E126">
        <v>160</v>
      </c>
      <c r="F126">
        <v>184</v>
      </c>
      <c r="G126">
        <v>176</v>
      </c>
      <c r="H126">
        <v>168</v>
      </c>
      <c r="I126">
        <v>184</v>
      </c>
      <c r="J126">
        <v>168</v>
      </c>
      <c r="K126">
        <v>176</v>
      </c>
      <c r="L126">
        <v>176</v>
      </c>
      <c r="M126">
        <v>168</v>
      </c>
    </row>
    <row r="127" spans="1:15">
      <c r="A127" t="s">
        <v>16</v>
      </c>
      <c r="C127">
        <v>144</v>
      </c>
      <c r="D127" s="37">
        <v>172</v>
      </c>
      <c r="E127" s="37">
        <v>144</v>
      </c>
      <c r="F127" s="37">
        <v>172</v>
      </c>
      <c r="G127" s="37">
        <v>128</v>
      </c>
      <c r="H127">
        <v>140</v>
      </c>
      <c r="I127">
        <v>116</v>
      </c>
      <c r="J127">
        <v>160</v>
      </c>
      <c r="K127">
        <v>168</v>
      </c>
      <c r="L127">
        <v>136</v>
      </c>
      <c r="M127">
        <v>144</v>
      </c>
    </row>
    <row r="128" spans="1:15">
      <c r="A128" t="s">
        <v>17</v>
      </c>
      <c r="C128">
        <v>0</v>
      </c>
      <c r="D128">
        <v>0</v>
      </c>
      <c r="E128">
        <v>16</v>
      </c>
      <c r="F128">
        <v>16</v>
      </c>
      <c r="G128">
        <v>0</v>
      </c>
      <c r="H128">
        <v>16</v>
      </c>
      <c r="I128">
        <v>0</v>
      </c>
      <c r="J128">
        <v>8</v>
      </c>
      <c r="K128">
        <v>0</v>
      </c>
      <c r="L128">
        <v>8</v>
      </c>
      <c r="M128">
        <v>16</v>
      </c>
    </row>
    <row r="129" spans="1:16">
      <c r="A129" t="s">
        <v>18</v>
      </c>
      <c r="B129" s="31"/>
      <c r="C129" s="31">
        <f t="shared" ref="C129:M129" si="23">C127-C128</f>
        <v>144</v>
      </c>
      <c r="D129" s="31">
        <f t="shared" si="23"/>
        <v>172</v>
      </c>
      <c r="E129" s="31">
        <f t="shared" si="23"/>
        <v>128</v>
      </c>
      <c r="F129" s="31">
        <f t="shared" si="23"/>
        <v>156</v>
      </c>
      <c r="G129" s="31">
        <f t="shared" si="23"/>
        <v>128</v>
      </c>
      <c r="H129" s="31">
        <f t="shared" si="23"/>
        <v>124</v>
      </c>
      <c r="I129" s="31">
        <f t="shared" si="23"/>
        <v>116</v>
      </c>
      <c r="J129" s="31">
        <f t="shared" si="23"/>
        <v>152</v>
      </c>
      <c r="K129" s="31">
        <f t="shared" si="23"/>
        <v>168</v>
      </c>
      <c r="L129" s="31">
        <f t="shared" si="23"/>
        <v>128</v>
      </c>
      <c r="M129" s="31">
        <f t="shared" si="23"/>
        <v>128</v>
      </c>
      <c r="N129" s="31">
        <f>SUM(C129:M129)</f>
        <v>1544</v>
      </c>
    </row>
    <row r="130" spans="1:16">
      <c r="A130" t="s">
        <v>19</v>
      </c>
      <c r="C130">
        <v>16</v>
      </c>
      <c r="D130">
        <v>12</v>
      </c>
      <c r="E130">
        <v>16</v>
      </c>
      <c r="F130">
        <v>12</v>
      </c>
      <c r="G130">
        <v>48</v>
      </c>
      <c r="H130">
        <v>28</v>
      </c>
      <c r="I130">
        <v>68</v>
      </c>
      <c r="J130">
        <v>8</v>
      </c>
      <c r="K130">
        <v>8</v>
      </c>
      <c r="L130">
        <v>40</v>
      </c>
      <c r="M130">
        <v>24</v>
      </c>
    </row>
    <row r="131" spans="1:16">
      <c r="A131" t="s">
        <v>20</v>
      </c>
      <c r="C131">
        <v>0.2</v>
      </c>
      <c r="D131">
        <v>0.2</v>
      </c>
      <c r="E131">
        <v>0.2</v>
      </c>
      <c r="F131">
        <v>0.2</v>
      </c>
      <c r="G131">
        <v>0.2</v>
      </c>
      <c r="H131">
        <v>0.2</v>
      </c>
      <c r="I131">
        <v>0.2</v>
      </c>
      <c r="J131">
        <v>0.2</v>
      </c>
      <c r="K131">
        <v>0.2</v>
      </c>
      <c r="L131">
        <v>0.2</v>
      </c>
      <c r="M131">
        <v>0.2</v>
      </c>
    </row>
    <row r="132" spans="1:16">
      <c r="A132" t="s">
        <v>21</v>
      </c>
      <c r="B132" s="36"/>
      <c r="C132" s="54">
        <f t="shared" ref="C132:M132" si="24">C129*C131</f>
        <v>28.8</v>
      </c>
      <c r="D132" s="54">
        <f t="shared" si="24"/>
        <v>34.4</v>
      </c>
      <c r="E132" s="54">
        <f t="shared" si="24"/>
        <v>25.6</v>
      </c>
      <c r="F132" s="54">
        <f t="shared" si="24"/>
        <v>31.200000000000003</v>
      </c>
      <c r="G132" s="54">
        <f t="shared" si="24"/>
        <v>25.6</v>
      </c>
      <c r="H132" s="54">
        <f t="shared" si="24"/>
        <v>24.8</v>
      </c>
      <c r="I132" s="54">
        <f t="shared" si="24"/>
        <v>23.200000000000003</v>
      </c>
      <c r="J132" s="54">
        <f t="shared" si="24"/>
        <v>30.400000000000002</v>
      </c>
      <c r="K132" s="54">
        <f t="shared" si="24"/>
        <v>33.6</v>
      </c>
      <c r="L132" s="54">
        <f t="shared" si="24"/>
        <v>25.6</v>
      </c>
      <c r="M132" s="54">
        <f t="shared" si="24"/>
        <v>25.6</v>
      </c>
      <c r="N132" s="36">
        <f>SUM(B132:M132)</f>
        <v>308.80000000000007</v>
      </c>
      <c r="O132" s="52">
        <f>N132/8</f>
        <v>38.600000000000009</v>
      </c>
    </row>
    <row r="133" spans="1:16">
      <c r="A133" s="37"/>
      <c r="B133" s="37"/>
      <c r="C133" s="37"/>
      <c r="D133" s="38"/>
      <c r="E133" s="37"/>
      <c r="F133" s="37"/>
      <c r="G133" s="37"/>
      <c r="H133" s="37"/>
      <c r="I133" s="37"/>
      <c r="J133" s="37"/>
      <c r="K133" s="37"/>
      <c r="L133" s="37"/>
      <c r="M133" s="37"/>
      <c r="N133" s="38"/>
    </row>
    <row r="134" spans="1:16">
      <c r="A134" s="34" t="s">
        <v>60</v>
      </c>
    </row>
    <row r="135" spans="1:16">
      <c r="A135" t="s">
        <v>12</v>
      </c>
      <c r="B135">
        <v>1</v>
      </c>
      <c r="C135">
        <v>2</v>
      </c>
      <c r="D135">
        <v>3</v>
      </c>
      <c r="E135">
        <v>4</v>
      </c>
      <c r="F135">
        <v>5</v>
      </c>
      <c r="G135">
        <v>6</v>
      </c>
      <c r="H135">
        <v>7</v>
      </c>
      <c r="I135">
        <v>8</v>
      </c>
      <c r="J135">
        <v>9</v>
      </c>
      <c r="K135">
        <v>10</v>
      </c>
      <c r="L135">
        <v>11</v>
      </c>
      <c r="M135">
        <v>12</v>
      </c>
      <c r="N135" t="s">
        <v>13</v>
      </c>
    </row>
    <row r="136" spans="1:16">
      <c r="A136" t="s">
        <v>14</v>
      </c>
    </row>
    <row r="137" spans="1:16">
      <c r="A137" t="s">
        <v>15</v>
      </c>
      <c r="B137">
        <v>184</v>
      </c>
      <c r="C137">
        <v>168</v>
      </c>
      <c r="D137">
        <v>168</v>
      </c>
      <c r="E137">
        <v>176</v>
      </c>
    </row>
    <row r="138" spans="1:16">
      <c r="A138" t="s">
        <v>16</v>
      </c>
      <c r="B138">
        <v>164</v>
      </c>
      <c r="C138">
        <v>140</v>
      </c>
      <c r="D138">
        <v>156</v>
      </c>
      <c r="E138">
        <v>176</v>
      </c>
    </row>
    <row r="139" spans="1:16">
      <c r="A139" t="s">
        <v>17</v>
      </c>
      <c r="B139">
        <v>8</v>
      </c>
      <c r="C139">
        <v>0</v>
      </c>
      <c r="D139">
        <v>8</v>
      </c>
      <c r="E139">
        <v>8</v>
      </c>
    </row>
    <row r="140" spans="1:16">
      <c r="A140" t="s">
        <v>18</v>
      </c>
      <c r="B140" s="31">
        <f>B138-B139</f>
        <v>156</v>
      </c>
      <c r="C140" s="31">
        <f t="shared" ref="C140:M140" si="25">C138-C139</f>
        <v>140</v>
      </c>
      <c r="D140" s="31">
        <f t="shared" si="25"/>
        <v>148</v>
      </c>
      <c r="E140" s="31">
        <f t="shared" si="25"/>
        <v>168</v>
      </c>
      <c r="F140" s="31">
        <f t="shared" si="25"/>
        <v>0</v>
      </c>
      <c r="G140" s="31">
        <f t="shared" si="25"/>
        <v>0</v>
      </c>
      <c r="H140" s="31">
        <f t="shared" si="25"/>
        <v>0</v>
      </c>
      <c r="I140" s="31">
        <f t="shared" si="25"/>
        <v>0</v>
      </c>
      <c r="J140" s="31">
        <f t="shared" si="25"/>
        <v>0</v>
      </c>
      <c r="K140" s="31">
        <f t="shared" si="25"/>
        <v>0</v>
      </c>
      <c r="L140" s="31">
        <f t="shared" si="25"/>
        <v>0</v>
      </c>
      <c r="M140" s="31">
        <f t="shared" si="25"/>
        <v>0</v>
      </c>
    </row>
    <row r="141" spans="1:16">
      <c r="A141" t="s">
        <v>19</v>
      </c>
      <c r="B141">
        <v>20</v>
      </c>
      <c r="C141">
        <v>28</v>
      </c>
      <c r="D141">
        <v>12</v>
      </c>
      <c r="E141">
        <v>0</v>
      </c>
    </row>
    <row r="142" spans="1:16">
      <c r="A142" t="s">
        <v>20</v>
      </c>
      <c r="B142">
        <v>0.2</v>
      </c>
      <c r="C142">
        <v>0.2</v>
      </c>
      <c r="D142">
        <v>0.2</v>
      </c>
      <c r="E142">
        <v>0.2</v>
      </c>
      <c r="F142">
        <v>0.2</v>
      </c>
      <c r="G142">
        <v>0.2</v>
      </c>
      <c r="H142">
        <v>0.2</v>
      </c>
      <c r="I142">
        <v>0.2</v>
      </c>
      <c r="J142">
        <v>0.2</v>
      </c>
      <c r="K142">
        <v>0.2</v>
      </c>
      <c r="L142">
        <v>0.2</v>
      </c>
      <c r="M142">
        <v>0.2</v>
      </c>
    </row>
    <row r="143" spans="1:16">
      <c r="A143" t="s">
        <v>21</v>
      </c>
      <c r="B143" s="54">
        <f>B140*B142</f>
        <v>31.200000000000003</v>
      </c>
      <c r="C143" s="54">
        <f t="shared" ref="C143" si="26">C140*C142</f>
        <v>28</v>
      </c>
      <c r="D143" s="54">
        <f>D140*D142</f>
        <v>29.6</v>
      </c>
      <c r="E143" s="54">
        <f>E140*E142</f>
        <v>33.6</v>
      </c>
      <c r="F143" s="31"/>
      <c r="G143" s="31"/>
      <c r="H143" s="31"/>
      <c r="I143" s="31"/>
      <c r="J143" s="31"/>
      <c r="K143" s="31"/>
      <c r="L143" s="31"/>
      <c r="M143" s="31"/>
      <c r="N143" s="35">
        <f>SUM(B143:M143)</f>
        <v>122.4</v>
      </c>
      <c r="O143" s="49">
        <f>N143/8</f>
        <v>15.3</v>
      </c>
      <c r="P143" s="49">
        <v>15.5</v>
      </c>
    </row>
    <row r="144" spans="1:16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5">
      <c r="A145" s="34" t="s">
        <v>61</v>
      </c>
    </row>
    <row r="146" spans="1:15">
      <c r="A146" t="s">
        <v>12</v>
      </c>
      <c r="B146">
        <v>1</v>
      </c>
      <c r="C146">
        <v>2</v>
      </c>
      <c r="D146">
        <v>3</v>
      </c>
      <c r="E146">
        <v>4</v>
      </c>
      <c r="F146">
        <v>5</v>
      </c>
      <c r="G146">
        <v>6</v>
      </c>
      <c r="H146">
        <v>7</v>
      </c>
      <c r="I146">
        <v>8</v>
      </c>
      <c r="J146">
        <v>9</v>
      </c>
      <c r="K146">
        <v>10</v>
      </c>
      <c r="L146">
        <v>11</v>
      </c>
      <c r="M146">
        <v>12</v>
      </c>
      <c r="N146" t="s">
        <v>13</v>
      </c>
    </row>
    <row r="147" spans="1:15">
      <c r="A147" t="s">
        <v>14</v>
      </c>
    </row>
    <row r="148" spans="1:15">
      <c r="A148" t="s">
        <v>15</v>
      </c>
      <c r="C148">
        <v>160</v>
      </c>
      <c r="D148">
        <v>184</v>
      </c>
      <c r="E148">
        <v>160</v>
      </c>
      <c r="F148">
        <v>184</v>
      </c>
      <c r="G148">
        <v>176</v>
      </c>
      <c r="H148">
        <v>168</v>
      </c>
      <c r="I148">
        <v>184</v>
      </c>
      <c r="J148">
        <v>168</v>
      </c>
      <c r="K148">
        <v>176</v>
      </c>
      <c r="L148">
        <v>176</v>
      </c>
      <c r="M148">
        <v>168</v>
      </c>
    </row>
    <row r="149" spans="1:15">
      <c r="A149" t="s">
        <v>16</v>
      </c>
      <c r="C149">
        <v>152</v>
      </c>
      <c r="D149">
        <v>184</v>
      </c>
      <c r="E149">
        <v>136</v>
      </c>
      <c r="F149">
        <v>176</v>
      </c>
      <c r="G149">
        <v>144</v>
      </c>
      <c r="H149">
        <v>136</v>
      </c>
      <c r="I149">
        <v>104</v>
      </c>
      <c r="J149">
        <v>152</v>
      </c>
      <c r="K149">
        <v>160</v>
      </c>
      <c r="L149">
        <v>144</v>
      </c>
      <c r="M149">
        <v>168</v>
      </c>
    </row>
    <row r="150" spans="1:15">
      <c r="A150" t="s">
        <v>17</v>
      </c>
      <c r="C150">
        <v>0</v>
      </c>
      <c r="D150">
        <v>0</v>
      </c>
      <c r="E150">
        <v>16</v>
      </c>
      <c r="F150">
        <v>16</v>
      </c>
      <c r="G150">
        <v>0</v>
      </c>
      <c r="H150">
        <v>16</v>
      </c>
      <c r="I150">
        <v>0</v>
      </c>
      <c r="J150">
        <v>8</v>
      </c>
      <c r="K150">
        <v>0</v>
      </c>
      <c r="L150">
        <v>8</v>
      </c>
      <c r="M150">
        <v>16</v>
      </c>
    </row>
    <row r="151" spans="1:15">
      <c r="A151" t="s">
        <v>18</v>
      </c>
      <c r="B151" s="31"/>
      <c r="C151" s="31">
        <f t="shared" ref="C151:M151" si="27">C149-C150</f>
        <v>152</v>
      </c>
      <c r="D151" s="31">
        <f t="shared" si="27"/>
        <v>184</v>
      </c>
      <c r="E151" s="31">
        <f t="shared" si="27"/>
        <v>120</v>
      </c>
      <c r="F151" s="31">
        <f t="shared" si="27"/>
        <v>160</v>
      </c>
      <c r="G151" s="31">
        <f t="shared" si="27"/>
        <v>144</v>
      </c>
      <c r="H151" s="31">
        <f t="shared" si="27"/>
        <v>120</v>
      </c>
      <c r="I151" s="31">
        <f t="shared" si="27"/>
        <v>104</v>
      </c>
      <c r="J151" s="31">
        <f t="shared" si="27"/>
        <v>144</v>
      </c>
      <c r="K151" s="31">
        <f t="shared" si="27"/>
        <v>160</v>
      </c>
      <c r="L151" s="31">
        <f t="shared" si="27"/>
        <v>136</v>
      </c>
      <c r="M151" s="31">
        <f t="shared" si="27"/>
        <v>152</v>
      </c>
      <c r="N151" s="31">
        <f>SUM(C151:M151)</f>
        <v>1576</v>
      </c>
    </row>
    <row r="152" spans="1:15">
      <c r="A152" t="s">
        <v>19</v>
      </c>
      <c r="C152">
        <v>8</v>
      </c>
      <c r="D152">
        <v>0</v>
      </c>
      <c r="E152">
        <v>24</v>
      </c>
      <c r="F152">
        <v>8</v>
      </c>
      <c r="G152">
        <v>32</v>
      </c>
      <c r="H152">
        <v>32</v>
      </c>
      <c r="I152">
        <v>80</v>
      </c>
      <c r="J152">
        <v>16</v>
      </c>
      <c r="K152">
        <v>16</v>
      </c>
      <c r="L152">
        <v>32</v>
      </c>
      <c r="M152">
        <v>0</v>
      </c>
    </row>
    <row r="153" spans="1:15">
      <c r="A153" t="s">
        <v>20</v>
      </c>
      <c r="C153">
        <v>0.1</v>
      </c>
      <c r="D153">
        <v>0.1</v>
      </c>
      <c r="E153">
        <v>0.1</v>
      </c>
      <c r="F153">
        <v>0.1</v>
      </c>
      <c r="G153">
        <v>0.1</v>
      </c>
      <c r="H153">
        <v>0.1</v>
      </c>
      <c r="I153">
        <v>0.1</v>
      </c>
      <c r="J153">
        <v>0.1</v>
      </c>
      <c r="K153">
        <v>0.1</v>
      </c>
      <c r="L153">
        <v>0.1</v>
      </c>
      <c r="M153">
        <v>0.1</v>
      </c>
    </row>
    <row r="154" spans="1:15">
      <c r="A154" t="s">
        <v>21</v>
      </c>
      <c r="B154" s="36"/>
      <c r="C154" s="54">
        <f t="shared" ref="C154:M154" si="28">C151*C153</f>
        <v>15.200000000000001</v>
      </c>
      <c r="D154" s="54">
        <f t="shared" si="28"/>
        <v>18.400000000000002</v>
      </c>
      <c r="E154" s="54">
        <f t="shared" si="28"/>
        <v>12</v>
      </c>
      <c r="F154" s="54">
        <f t="shared" si="28"/>
        <v>16</v>
      </c>
      <c r="G154" s="54">
        <f t="shared" si="28"/>
        <v>14.4</v>
      </c>
      <c r="H154" s="54">
        <f t="shared" si="28"/>
        <v>12</v>
      </c>
      <c r="I154" s="54">
        <f t="shared" si="28"/>
        <v>10.4</v>
      </c>
      <c r="J154" s="54">
        <f t="shared" si="28"/>
        <v>14.4</v>
      </c>
      <c r="K154" s="54">
        <f t="shared" si="28"/>
        <v>16</v>
      </c>
      <c r="L154" s="54">
        <f t="shared" si="28"/>
        <v>13.600000000000001</v>
      </c>
      <c r="M154" s="54">
        <f t="shared" si="28"/>
        <v>15.200000000000001</v>
      </c>
      <c r="N154" s="54">
        <f>SUM(B154:M154)</f>
        <v>157.6</v>
      </c>
      <c r="O154" s="52">
        <f>N154/8</f>
        <v>19.7</v>
      </c>
    </row>
    <row r="155" spans="1:15" ht="13.5" customHeight="1"/>
    <row r="156" spans="1:15">
      <c r="A156" s="34" t="s">
        <v>62</v>
      </c>
    </row>
    <row r="157" spans="1:15">
      <c r="A157" t="s">
        <v>12</v>
      </c>
      <c r="B157">
        <v>1</v>
      </c>
      <c r="C157">
        <v>2</v>
      </c>
      <c r="D157">
        <v>3</v>
      </c>
      <c r="E157">
        <v>4</v>
      </c>
      <c r="F157">
        <v>5</v>
      </c>
      <c r="G157">
        <v>6</v>
      </c>
      <c r="H157">
        <v>7</v>
      </c>
      <c r="I157">
        <v>8</v>
      </c>
      <c r="J157">
        <v>9</v>
      </c>
      <c r="K157">
        <v>10</v>
      </c>
      <c r="L157">
        <v>11</v>
      </c>
      <c r="M157">
        <v>12</v>
      </c>
      <c r="N157" t="s">
        <v>13</v>
      </c>
    </row>
    <row r="158" spans="1:15">
      <c r="A158" t="s">
        <v>14</v>
      </c>
    </row>
    <row r="159" spans="1:15">
      <c r="A159" t="s">
        <v>15</v>
      </c>
      <c r="B159">
        <v>184</v>
      </c>
      <c r="C159">
        <v>168</v>
      </c>
      <c r="D159">
        <v>168</v>
      </c>
      <c r="E159">
        <v>176</v>
      </c>
    </row>
    <row r="160" spans="1:15">
      <c r="A160" t="s">
        <v>16</v>
      </c>
      <c r="B160">
        <v>176</v>
      </c>
      <c r="C160">
        <v>132</v>
      </c>
      <c r="D160">
        <v>168</v>
      </c>
      <c r="E160">
        <v>160</v>
      </c>
    </row>
    <row r="161" spans="1:16">
      <c r="A161" t="s">
        <v>17</v>
      </c>
      <c r="B161">
        <v>8</v>
      </c>
      <c r="C161">
        <v>0</v>
      </c>
      <c r="D161">
        <v>8</v>
      </c>
      <c r="E161">
        <v>8</v>
      </c>
    </row>
    <row r="162" spans="1:16">
      <c r="A162" t="s">
        <v>18</v>
      </c>
      <c r="B162" s="31">
        <f>B160-B161</f>
        <v>168</v>
      </c>
      <c r="C162" s="31">
        <f t="shared" ref="C162:E162" si="29">C160-C161</f>
        <v>132</v>
      </c>
      <c r="D162" s="31">
        <f t="shared" si="29"/>
        <v>160</v>
      </c>
      <c r="E162" s="31">
        <f t="shared" si="29"/>
        <v>152</v>
      </c>
      <c r="F162" s="31"/>
      <c r="G162" s="31"/>
      <c r="H162" s="31"/>
      <c r="I162" s="31"/>
      <c r="J162" s="31"/>
      <c r="K162" s="31"/>
      <c r="L162" s="31"/>
      <c r="M162" s="31"/>
      <c r="N162">
        <f>SUM(B162:M162)</f>
        <v>612</v>
      </c>
    </row>
    <row r="163" spans="1:16">
      <c r="A163" t="s">
        <v>19</v>
      </c>
      <c r="B163">
        <v>8</v>
      </c>
      <c r="C163">
        <v>36</v>
      </c>
      <c r="D163">
        <v>0</v>
      </c>
      <c r="E163">
        <v>16</v>
      </c>
    </row>
    <row r="164" spans="1:16">
      <c r="A164" t="s">
        <v>20</v>
      </c>
      <c r="B164">
        <v>0.1</v>
      </c>
      <c r="C164">
        <v>0.1</v>
      </c>
      <c r="D164">
        <v>0.1</v>
      </c>
      <c r="E164">
        <v>0.1</v>
      </c>
    </row>
    <row r="165" spans="1:16">
      <c r="A165" t="s">
        <v>21</v>
      </c>
      <c r="B165" s="54">
        <f>B162*B164</f>
        <v>16.8</v>
      </c>
      <c r="C165" s="54">
        <f t="shared" ref="C165" si="30">C162*C164</f>
        <v>13.200000000000001</v>
      </c>
      <c r="D165" s="54">
        <f>D162*D164</f>
        <v>16</v>
      </c>
      <c r="E165" s="54">
        <f>E162*E164</f>
        <v>15.200000000000001</v>
      </c>
      <c r="F165" s="31"/>
      <c r="G165" s="31"/>
      <c r="H165" s="31"/>
      <c r="I165" s="31"/>
      <c r="J165" s="31"/>
      <c r="K165" s="31"/>
      <c r="L165" s="31"/>
      <c r="M165" s="31"/>
      <c r="N165" s="54">
        <f>SUM(B165:M165)</f>
        <v>61.2</v>
      </c>
      <c r="O165" s="49">
        <f>N165/8</f>
        <v>7.65</v>
      </c>
      <c r="P165" s="49">
        <v>7.5</v>
      </c>
    </row>
    <row r="167" spans="1:16">
      <c r="A167" s="34" t="s">
        <v>63</v>
      </c>
      <c r="B167" t="s">
        <v>10</v>
      </c>
    </row>
    <row r="168" spans="1:16">
      <c r="A168" t="s">
        <v>12</v>
      </c>
      <c r="B168">
        <v>1</v>
      </c>
      <c r="C168">
        <v>2</v>
      </c>
      <c r="D168">
        <v>3</v>
      </c>
      <c r="E168">
        <v>4</v>
      </c>
      <c r="F168">
        <v>5</v>
      </c>
      <c r="G168">
        <v>6</v>
      </c>
      <c r="H168">
        <v>7</v>
      </c>
      <c r="I168">
        <v>8</v>
      </c>
      <c r="J168">
        <v>9</v>
      </c>
      <c r="K168">
        <v>10</v>
      </c>
      <c r="L168">
        <v>11</v>
      </c>
      <c r="M168">
        <v>12</v>
      </c>
      <c r="N168" t="s">
        <v>13</v>
      </c>
    </row>
    <row r="169" spans="1:16">
      <c r="A169" t="s">
        <v>14</v>
      </c>
      <c r="C169">
        <v>1.2</v>
      </c>
      <c r="D169">
        <v>1.2</v>
      </c>
      <c r="E169">
        <v>1.2</v>
      </c>
      <c r="F169">
        <v>1.2</v>
      </c>
      <c r="G169">
        <v>1.2</v>
      </c>
      <c r="H169">
        <v>1.2</v>
      </c>
      <c r="I169">
        <v>1.2</v>
      </c>
      <c r="J169">
        <v>1.2</v>
      </c>
      <c r="K169">
        <v>1.2</v>
      </c>
      <c r="L169">
        <v>1.2</v>
      </c>
      <c r="M169">
        <v>1.2</v>
      </c>
    </row>
    <row r="170" spans="1:16">
      <c r="A170" t="s">
        <v>15</v>
      </c>
      <c r="C170">
        <f>160+32</f>
        <v>192</v>
      </c>
      <c r="D170">
        <f>184+36.8</f>
        <v>220.8</v>
      </c>
      <c r="E170">
        <f>160+F17031</f>
        <v>160</v>
      </c>
      <c r="F170">
        <f>184+36.8</f>
        <v>220.8</v>
      </c>
      <c r="G170">
        <f>176+35.2</f>
        <v>211.2</v>
      </c>
      <c r="H170">
        <f>168+33.6</f>
        <v>201.6</v>
      </c>
      <c r="I170">
        <f>184+36.8</f>
        <v>220.8</v>
      </c>
      <c r="J170">
        <f>168+33.6</f>
        <v>201.6</v>
      </c>
      <c r="K170">
        <f>176+35.2</f>
        <v>211.2</v>
      </c>
      <c r="L170">
        <f>176+35.2</f>
        <v>211.2</v>
      </c>
      <c r="M170">
        <f>168+33.6</f>
        <v>201.6</v>
      </c>
    </row>
    <row r="171" spans="1:16">
      <c r="A171" t="s">
        <v>16</v>
      </c>
      <c r="C171">
        <f>160+32</f>
        <v>192</v>
      </c>
      <c r="D171">
        <f>184+36.8</f>
        <v>220.8</v>
      </c>
      <c r="E171">
        <f>160+32</f>
        <v>192</v>
      </c>
      <c r="F171">
        <f>168+33.6</f>
        <v>201.6</v>
      </c>
      <c r="G171">
        <f>160+32</f>
        <v>192</v>
      </c>
      <c r="H171">
        <f>168+33.6</f>
        <v>201.6</v>
      </c>
      <c r="I171">
        <f>184+36.8</f>
        <v>220.8</v>
      </c>
      <c r="J171">
        <f>168+33.6</f>
        <v>201.6</v>
      </c>
      <c r="K171">
        <f>176+35.2</f>
        <v>211.2</v>
      </c>
      <c r="L171">
        <f>176+35.2</f>
        <v>211.2</v>
      </c>
      <c r="M171">
        <f>64+3.2</f>
        <v>67.2</v>
      </c>
    </row>
    <row r="172" spans="1:16">
      <c r="A172" t="s">
        <v>17</v>
      </c>
      <c r="C172">
        <v>0</v>
      </c>
      <c r="D172">
        <v>0</v>
      </c>
      <c r="E172">
        <f>16+3.2</f>
        <v>19.2</v>
      </c>
      <c r="F172">
        <f>16+3.2</f>
        <v>19.2</v>
      </c>
      <c r="G172">
        <v>0</v>
      </c>
      <c r="H172">
        <f>16+3.2</f>
        <v>19.2</v>
      </c>
      <c r="I172">
        <v>0</v>
      </c>
      <c r="J172">
        <f>8+1.6</f>
        <v>9.6</v>
      </c>
      <c r="K172">
        <v>0</v>
      </c>
      <c r="L172">
        <f>8+1.6</f>
        <v>9.6</v>
      </c>
      <c r="M172">
        <f>16+3.2</f>
        <v>19.2</v>
      </c>
    </row>
    <row r="173" spans="1:16">
      <c r="A173" t="s">
        <v>18</v>
      </c>
      <c r="B173" s="31"/>
      <c r="C173" s="31">
        <f t="shared" ref="C173" si="31">C171-C172</f>
        <v>192</v>
      </c>
      <c r="D173" s="31">
        <f>D171-D172</f>
        <v>220.8</v>
      </c>
      <c r="E173" s="31">
        <f>E171-E172</f>
        <v>172.8</v>
      </c>
      <c r="F173" s="31">
        <f t="shared" ref="F173:M173" si="32">F171-F172</f>
        <v>182.4</v>
      </c>
      <c r="G173" s="31">
        <f t="shared" si="32"/>
        <v>192</v>
      </c>
      <c r="H173" s="31">
        <f t="shared" si="32"/>
        <v>182.4</v>
      </c>
      <c r="I173" s="31">
        <f t="shared" si="32"/>
        <v>220.8</v>
      </c>
      <c r="J173" s="31">
        <f t="shared" si="32"/>
        <v>192</v>
      </c>
      <c r="K173" s="31">
        <f t="shared" si="32"/>
        <v>211.2</v>
      </c>
      <c r="L173" s="31">
        <f t="shared" si="32"/>
        <v>201.6</v>
      </c>
      <c r="M173" s="31">
        <f t="shared" si="32"/>
        <v>48</v>
      </c>
      <c r="O173" s="31">
        <f>SUM(C173:N173)</f>
        <v>2016</v>
      </c>
      <c r="P173" s="37"/>
    </row>
    <row r="174" spans="1:16">
      <c r="A174" t="s">
        <v>19</v>
      </c>
      <c r="C174">
        <v>0</v>
      </c>
      <c r="D174">
        <v>0</v>
      </c>
      <c r="E174">
        <v>0</v>
      </c>
      <c r="F174">
        <f>16+3.2</f>
        <v>19.2</v>
      </c>
      <c r="G174">
        <f>16+3.2</f>
        <v>19.2</v>
      </c>
      <c r="H174">
        <v>0</v>
      </c>
      <c r="I174">
        <v>0</v>
      </c>
      <c r="J174">
        <v>0</v>
      </c>
      <c r="K174">
        <v>0</v>
      </c>
      <c r="L174">
        <v>0</v>
      </c>
      <c r="M174">
        <f>104+30.4</f>
        <v>134.4</v>
      </c>
    </row>
    <row r="175" spans="1:16">
      <c r="A175" t="s">
        <v>20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</row>
    <row r="176" spans="1:16">
      <c r="A176" t="s">
        <v>21</v>
      </c>
      <c r="B176" s="36"/>
      <c r="C176" s="36">
        <f>C173*100/120</f>
        <v>160</v>
      </c>
      <c r="D176" s="36">
        <f t="shared" ref="D176:M176" si="33">D173*100/120</f>
        <v>184</v>
      </c>
      <c r="E176" s="36">
        <f t="shared" si="33"/>
        <v>144</v>
      </c>
      <c r="F176" s="36">
        <f t="shared" si="33"/>
        <v>152</v>
      </c>
      <c r="G176" s="36">
        <f t="shared" si="33"/>
        <v>160</v>
      </c>
      <c r="H176" s="36">
        <f t="shared" si="33"/>
        <v>152</v>
      </c>
      <c r="I176" s="36">
        <f t="shared" si="33"/>
        <v>184</v>
      </c>
      <c r="J176" s="36">
        <f t="shared" si="33"/>
        <v>160</v>
      </c>
      <c r="K176" s="36">
        <f t="shared" si="33"/>
        <v>176</v>
      </c>
      <c r="L176" s="36">
        <f t="shared" si="33"/>
        <v>168</v>
      </c>
      <c r="M176" s="36">
        <f t="shared" si="33"/>
        <v>40</v>
      </c>
      <c r="N176" s="53">
        <f>SUM(B176:M176)</f>
        <v>1680</v>
      </c>
      <c r="O176" s="50">
        <f>N176/8</f>
        <v>210</v>
      </c>
      <c r="P176" s="60">
        <f>215/12*11*1.2</f>
        <v>236.5</v>
      </c>
    </row>
    <row r="177" spans="1:17">
      <c r="A177" t="s">
        <v>31</v>
      </c>
      <c r="C177">
        <f>C176/8</f>
        <v>20</v>
      </c>
      <c r="D177">
        <f t="shared" ref="D177:M177" si="34">D176/8</f>
        <v>23</v>
      </c>
      <c r="E177">
        <f t="shared" si="34"/>
        <v>18</v>
      </c>
      <c r="F177">
        <f t="shared" si="34"/>
        <v>19</v>
      </c>
      <c r="G177">
        <f t="shared" si="34"/>
        <v>20</v>
      </c>
      <c r="H177">
        <f t="shared" si="34"/>
        <v>19</v>
      </c>
      <c r="I177">
        <f t="shared" si="34"/>
        <v>23</v>
      </c>
      <c r="J177">
        <f t="shared" si="34"/>
        <v>20</v>
      </c>
      <c r="K177">
        <f t="shared" si="34"/>
        <v>22</v>
      </c>
      <c r="L177">
        <f t="shared" si="34"/>
        <v>21</v>
      </c>
      <c r="M177">
        <f t="shared" si="34"/>
        <v>5</v>
      </c>
    </row>
    <row r="178" spans="1:17">
      <c r="A178" s="34" t="s">
        <v>64</v>
      </c>
      <c r="B178" t="s">
        <v>38</v>
      </c>
      <c r="N178" s="34"/>
    </row>
    <row r="179" spans="1:17">
      <c r="A179" t="s">
        <v>12</v>
      </c>
      <c r="B179" s="40">
        <v>1</v>
      </c>
      <c r="C179" s="40">
        <v>2</v>
      </c>
      <c r="D179" s="40">
        <v>3</v>
      </c>
      <c r="E179" s="40">
        <v>4</v>
      </c>
      <c r="F179" s="57">
        <v>5</v>
      </c>
      <c r="G179" s="57">
        <v>6</v>
      </c>
      <c r="H179" s="57">
        <v>7</v>
      </c>
      <c r="I179" s="57">
        <v>8</v>
      </c>
      <c r="J179" s="57">
        <v>9</v>
      </c>
      <c r="K179" s="57">
        <v>10</v>
      </c>
      <c r="L179" s="57">
        <v>11</v>
      </c>
      <c r="M179" s="57">
        <v>12</v>
      </c>
      <c r="N179" t="s">
        <v>13</v>
      </c>
    </row>
    <row r="180" spans="1:17">
      <c r="A180" t="s">
        <v>14</v>
      </c>
      <c r="B180" s="40">
        <v>1.05</v>
      </c>
      <c r="C180" s="40">
        <v>1.05</v>
      </c>
      <c r="D180" s="40">
        <v>1.05</v>
      </c>
      <c r="E180" s="40">
        <v>1.05</v>
      </c>
      <c r="F180" s="56">
        <v>1.05</v>
      </c>
      <c r="G180" s="56">
        <v>1.05</v>
      </c>
      <c r="H180" s="56">
        <v>1.05</v>
      </c>
      <c r="I180" s="56">
        <v>1.05</v>
      </c>
      <c r="J180" s="56">
        <v>1.05</v>
      </c>
      <c r="K180" s="56">
        <v>1.05</v>
      </c>
      <c r="L180" s="56">
        <v>1.05</v>
      </c>
      <c r="M180" s="56">
        <v>1.05</v>
      </c>
    </row>
    <row r="181" spans="1:17">
      <c r="A181" t="s">
        <v>15</v>
      </c>
      <c r="B181" s="40">
        <f>184+9.2</f>
        <v>193.2</v>
      </c>
      <c r="C181" s="40">
        <f>168+8.4</f>
        <v>176.4</v>
      </c>
      <c r="D181" s="40">
        <f>168+8.4</f>
        <v>176.4</v>
      </c>
      <c r="E181" s="40">
        <f>176+8.8</f>
        <v>184.8</v>
      </c>
      <c r="F181" s="57">
        <f>184+9.2</f>
        <v>193.2</v>
      </c>
      <c r="G181" s="57">
        <f>160+8</f>
        <v>168</v>
      </c>
      <c r="H181" s="57">
        <f>184+9.2</f>
        <v>193.2</v>
      </c>
      <c r="I181" s="57">
        <f>176+8.8</f>
        <v>184.8</v>
      </c>
      <c r="J181" s="57">
        <f>168+8.4</f>
        <v>176.4</v>
      </c>
      <c r="K181" s="57"/>
      <c r="L181" s="57"/>
      <c r="M181" s="57"/>
    </row>
    <row r="182" spans="1:17">
      <c r="A182" t="s">
        <v>16</v>
      </c>
      <c r="B182" s="40">
        <f>152+7.6</f>
        <v>159.6</v>
      </c>
      <c r="C182" s="40">
        <f>168+8.4</f>
        <v>176.4</v>
      </c>
      <c r="D182" s="40">
        <f>168+8.4</f>
        <v>176.4</v>
      </c>
      <c r="E182" s="40">
        <f>176+8.8</f>
        <v>184.8</v>
      </c>
      <c r="F182" s="57">
        <f>184+9.2</f>
        <v>193.2</v>
      </c>
      <c r="G182" s="57">
        <f>160+8</f>
        <v>168</v>
      </c>
      <c r="H182" s="57">
        <f>184+9.2</f>
        <v>193.2</v>
      </c>
      <c r="I182" s="57">
        <f>176+8.8</f>
        <v>184.8</v>
      </c>
      <c r="J182" s="57">
        <f>152+7.6</f>
        <v>159.6</v>
      </c>
      <c r="K182" s="57"/>
      <c r="L182" s="57"/>
      <c r="M182" s="57"/>
    </row>
    <row r="183" spans="1:17">
      <c r="A183" t="s">
        <v>17</v>
      </c>
      <c r="B183" s="40">
        <f>8+0.4</f>
        <v>8.4</v>
      </c>
      <c r="C183" s="40">
        <v>0</v>
      </c>
      <c r="D183" s="40">
        <f>8+0.4</f>
        <v>8.4</v>
      </c>
      <c r="E183" s="40">
        <f>8+0.4</f>
        <v>8.4</v>
      </c>
      <c r="F183" s="57">
        <f>16+0.8</f>
        <v>16.8</v>
      </c>
      <c r="G183" s="57">
        <v>0</v>
      </c>
      <c r="H183" s="57">
        <v>8.4</v>
      </c>
      <c r="I183" s="57">
        <v>0</v>
      </c>
      <c r="J183" s="57">
        <v>0</v>
      </c>
      <c r="K183" s="57"/>
      <c r="L183" s="57"/>
      <c r="M183" s="57"/>
    </row>
    <row r="184" spans="1:17">
      <c r="A184" t="s">
        <v>18</v>
      </c>
      <c r="B184" s="44">
        <f>B182-B183</f>
        <v>151.19999999999999</v>
      </c>
      <c r="C184" s="44">
        <f t="shared" ref="C184:M184" si="35">C182-C183</f>
        <v>176.4</v>
      </c>
      <c r="D184" s="44">
        <f t="shared" si="35"/>
        <v>168</v>
      </c>
      <c r="E184" s="44">
        <f t="shared" si="35"/>
        <v>176.4</v>
      </c>
      <c r="F184" s="55">
        <f t="shared" si="35"/>
        <v>176.39999999999998</v>
      </c>
      <c r="G184" s="55">
        <f t="shared" si="35"/>
        <v>168</v>
      </c>
      <c r="H184" s="55">
        <f t="shared" si="35"/>
        <v>184.79999999999998</v>
      </c>
      <c r="I184" s="55">
        <f t="shared" si="35"/>
        <v>184.8</v>
      </c>
      <c r="J184" s="55">
        <f t="shared" si="35"/>
        <v>159.6</v>
      </c>
      <c r="K184" s="55">
        <f t="shared" si="35"/>
        <v>0</v>
      </c>
      <c r="L184" s="55">
        <f t="shared" si="35"/>
        <v>0</v>
      </c>
      <c r="M184" s="55">
        <f t="shared" si="35"/>
        <v>0</v>
      </c>
      <c r="N184" s="45">
        <f>SUM(B184:M184)</f>
        <v>1545.6</v>
      </c>
    </row>
    <row r="185" spans="1:17">
      <c r="A185" t="s">
        <v>19</v>
      </c>
      <c r="B185" s="40">
        <f>32+1.6</f>
        <v>33.6</v>
      </c>
      <c r="C185" s="40">
        <v>0</v>
      </c>
      <c r="D185" s="40">
        <v>0</v>
      </c>
      <c r="E185" s="40">
        <v>0</v>
      </c>
      <c r="F185" s="57">
        <v>0</v>
      </c>
      <c r="G185" s="57">
        <v>0</v>
      </c>
      <c r="H185" s="57">
        <v>0</v>
      </c>
      <c r="I185" s="57">
        <v>0</v>
      </c>
      <c r="J185" s="57">
        <v>16.8</v>
      </c>
      <c r="K185" s="57"/>
      <c r="L185" s="57"/>
      <c r="M185" s="57"/>
    </row>
    <row r="186" spans="1:17">
      <c r="A186" t="s">
        <v>20</v>
      </c>
      <c r="B186" s="40">
        <v>0.7</v>
      </c>
      <c r="C186" s="40">
        <v>0.7</v>
      </c>
      <c r="D186" s="40">
        <v>0.7</v>
      </c>
      <c r="E186" s="40">
        <v>0.7</v>
      </c>
      <c r="F186" s="57">
        <v>0.7</v>
      </c>
      <c r="G186" s="57">
        <v>0.7</v>
      </c>
      <c r="H186" s="57">
        <v>0.7</v>
      </c>
      <c r="I186" s="57">
        <v>0.7</v>
      </c>
      <c r="J186" s="57">
        <v>0.7</v>
      </c>
      <c r="K186" s="57">
        <v>0.7</v>
      </c>
      <c r="L186" s="57">
        <v>0.7</v>
      </c>
      <c r="M186" s="57">
        <v>0.7</v>
      </c>
    </row>
    <row r="187" spans="1:17">
      <c r="A187" t="s">
        <v>21</v>
      </c>
      <c r="B187" s="58">
        <f>B184*70/105</f>
        <v>100.8</v>
      </c>
      <c r="C187" s="58">
        <f>C184*70/105</f>
        <v>117.6</v>
      </c>
      <c r="D187" s="58">
        <f>D184*70/105</f>
        <v>112</v>
      </c>
      <c r="E187" s="58">
        <f>E184*70/105</f>
        <v>117.6</v>
      </c>
      <c r="F187" s="55">
        <f t="shared" ref="F187:M187" si="36">F184*70/105</f>
        <v>117.59999999999998</v>
      </c>
      <c r="G187" s="55">
        <f t="shared" si="36"/>
        <v>112</v>
      </c>
      <c r="H187" s="55">
        <f t="shared" si="36"/>
        <v>123.19999999999999</v>
      </c>
      <c r="I187" s="55">
        <f t="shared" si="36"/>
        <v>123.2</v>
      </c>
      <c r="J187" s="55">
        <f t="shared" si="36"/>
        <v>106.4</v>
      </c>
      <c r="K187" s="55">
        <f t="shared" si="36"/>
        <v>0</v>
      </c>
      <c r="L187" s="55">
        <f t="shared" si="36"/>
        <v>0</v>
      </c>
      <c r="M187" s="55">
        <f t="shared" si="36"/>
        <v>0</v>
      </c>
      <c r="N187" s="53">
        <f>SUM(B187:M187)</f>
        <v>1030.4000000000001</v>
      </c>
      <c r="O187" s="61">
        <f>N187/8</f>
        <v>128.80000000000001</v>
      </c>
      <c r="P187" s="60">
        <f>215/12*4*1.05</f>
        <v>75.250000000000014</v>
      </c>
      <c r="Q187" s="33"/>
    </row>
    <row r="188" spans="1:17">
      <c r="E188" s="8">
        <f>B187+C187+D187+E187</f>
        <v>448</v>
      </c>
      <c r="F188" s="59">
        <f>E188/8</f>
        <v>56</v>
      </c>
    </row>
    <row r="189" spans="1:17">
      <c r="B189">
        <f>B184*100/105</f>
        <v>143.99999999999997</v>
      </c>
      <c r="C189">
        <f t="shared" ref="C189:M189" si="37">C184*100/105</f>
        <v>168</v>
      </c>
      <c r="D189">
        <f t="shared" si="37"/>
        <v>160</v>
      </c>
      <c r="E189">
        <f t="shared" si="37"/>
        <v>168</v>
      </c>
      <c r="F189">
        <f t="shared" si="37"/>
        <v>167.99999999999997</v>
      </c>
      <c r="G189">
        <f t="shared" si="37"/>
        <v>160</v>
      </c>
      <c r="H189">
        <f t="shared" si="37"/>
        <v>176</v>
      </c>
      <c r="I189">
        <f t="shared" si="37"/>
        <v>176</v>
      </c>
      <c r="J189">
        <f t="shared" si="37"/>
        <v>152</v>
      </c>
      <c r="K189">
        <f t="shared" si="37"/>
        <v>0</v>
      </c>
      <c r="L189">
        <f t="shared" si="37"/>
        <v>0</v>
      </c>
      <c r="M189">
        <f t="shared" si="37"/>
        <v>0</v>
      </c>
    </row>
    <row r="191" spans="1:17">
      <c r="O191" t="s">
        <v>39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7235CEAC2EDA4C9FB46E265399FBCD" ma:contentTypeVersion="13" ma:contentTypeDescription="Vytvoří nový dokument" ma:contentTypeScope="" ma:versionID="357924a7a2d4d3e1fdc8c563fc85cee8">
  <xsd:schema xmlns:xsd="http://www.w3.org/2001/XMLSchema" xmlns:xs="http://www.w3.org/2001/XMLSchema" xmlns:p="http://schemas.microsoft.com/office/2006/metadata/properties" xmlns:ns3="0efb7e4b-fb2f-4ed0-acd5-5fe070b3d718" xmlns:ns4="effe55a7-dadd-4bc8-9f82-d1ed33f73fbe" targetNamespace="http://schemas.microsoft.com/office/2006/metadata/properties" ma:root="true" ma:fieldsID="a70b65db662ecf2fb10b9bf0961ddcd9" ns3:_="" ns4:_="">
    <xsd:import namespace="0efb7e4b-fb2f-4ed0-acd5-5fe070b3d718"/>
    <xsd:import namespace="effe55a7-dadd-4bc8-9f82-d1ed33f73fb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b7e4b-fb2f-4ed0-acd5-5fe070b3d7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e55a7-dadd-4bc8-9f82-d1ed33f73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30CF0C-78EA-4E55-B81D-21B692CAE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fb7e4b-fb2f-4ed0-acd5-5fe070b3d718"/>
    <ds:schemaRef ds:uri="effe55a7-dadd-4bc8-9f82-d1ed33f73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F5B459-48EF-4BD7-82A1-242E0EDDD5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FDF346-6E58-4D61-9452-1792472CD7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Accelerator - dny</vt:lpstr>
      <vt:lpstr>project hours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2016-12-09T18:12:44Z</dcterms:created>
  <dcterms:modified xsi:type="dcterms:W3CDTF">2026-04-30T08:37:13Z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0x010100587235CEAC2EDA4C9FB46E265399FBCD</vt:lpwstr>
  </property>
</Properties>
</file>